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<sst xmlns="http://schemas.openxmlformats.org/spreadsheetml/2006/main" count="696" uniqueCount="383">
  <si>
    <t xml:space="preserve">CVICU / CTICU Hemodynamic Calculator</t>
  </si>
  <si>
    <t xml:space="preserve">How to use: enter patient data in the yellow cells (blue text) in column B. Leave optional cells blank. Every output below recalculates automatically. The values pre-filled are an example post-CABG patient; overwrite them.</t>
  </si>
  <si>
    <t xml:space="preserve">Legend:</t>
  </si>
  <si>
    <t xml:space="preserve">Input</t>
  </si>
  <si>
    <t xml:space="preserve">Calculated</t>
  </si>
  <si>
    <t xml:space="preserve">Flag: LOW / HIGH / OK vs. normal range (cols D–E)</t>
  </si>
  <si>
    <t xml:space="preserve">INPUTS: Patient</t>
  </si>
  <si>
    <t xml:space="preserve">Parameter</t>
  </si>
  <si>
    <t xml:space="preserve">Value</t>
  </si>
  <si>
    <t xml:space="preserve">Units</t>
  </si>
  <si>
    <t xml:space="preserve">Low</t>
  </si>
  <si>
    <t xml:space="preserve">High</t>
  </si>
  <si>
    <t xml:space="preserve">Flag</t>
  </si>
  <si>
    <t xml:space="preserve">Formula / notes</t>
  </si>
  <si>
    <t xml:space="preserve">Height</t>
  </si>
  <si>
    <t xml:space="preserve">cm</t>
  </si>
  <si>
    <t xml:space="preserve">Weight</t>
  </si>
  <si>
    <t xml:space="preserve">kg</t>
  </si>
  <si>
    <t xml:space="preserve">Age</t>
  </si>
  <si>
    <t xml:space="preserve">years</t>
  </si>
  <si>
    <t xml:space="preserve">Used only for LaFarge VO2 estimate</t>
  </si>
  <si>
    <t xml:space="preserve">Sex (M or F)</t>
  </si>
  <si>
    <t xml:space="preserve">M</t>
  </si>
  <si>
    <t xml:space="preserve">Heart rate</t>
  </si>
  <si>
    <t xml:space="preserve">bpm</t>
  </si>
  <si>
    <t xml:space="preserve">INPUTS: Pressures</t>
  </si>
  <si>
    <t xml:space="preserve">Systolic BP</t>
  </si>
  <si>
    <t xml:space="preserve">mmHg</t>
  </si>
  <si>
    <t xml:space="preserve">Diastolic BP</t>
  </si>
  <si>
    <t xml:space="preserve">MAP, measured (optional)</t>
  </si>
  <si>
    <t xml:space="preserve">Leave blank to calculate from SBP/DBP. Monitor's integrated MAP preferred if available</t>
  </si>
  <si>
    <t xml:space="preserve">CVP / RAP</t>
  </si>
  <si>
    <t xml:space="preserve">End-expiration</t>
  </si>
  <si>
    <t xml:space="preserve">PA systolic</t>
  </si>
  <si>
    <t xml:space="preserve">PA diastolic</t>
  </si>
  <si>
    <t xml:space="preserve">mPAP, measured (optional)</t>
  </si>
  <si>
    <t xml:space="preserve">Leave blank to calculate from PASP/PADP</t>
  </si>
  <si>
    <t xml:space="preserve">PAWP (wedge)</t>
  </si>
  <si>
    <t xml:space="preserve">End-expiration; base of v wave</t>
  </si>
  <si>
    <t xml:space="preserve">LVEDP (optional)</t>
  </si>
  <si>
    <t xml:space="preserve">Leave blank to use PAWP as the LVEDP surrogate in CPP</t>
  </si>
  <si>
    <t xml:space="preserve">INPUTS: Flow &amp; blood gases</t>
  </si>
  <si>
    <t xml:space="preserve">Cardiac output (thermodilution / CCO)</t>
  </si>
  <si>
    <t xml:space="preserve">L/min</t>
  </si>
  <si>
    <t xml:space="preserve">Average of 3 injections within 10%</t>
  </si>
  <si>
    <t xml:space="preserve">Hemoglobin</t>
  </si>
  <si>
    <t xml:space="preserve">g/dL</t>
  </si>
  <si>
    <t xml:space="preserve">SaO2</t>
  </si>
  <si>
    <t xml:space="preserve">%</t>
  </si>
  <si>
    <t xml:space="preserve">Enter as percent (97, not 0.97)</t>
  </si>
  <si>
    <t xml:space="preserve">SvO2 (mixed venous, PA distal port)</t>
  </si>
  <si>
    <t xml:space="preserve">ScvO2 (optional, CVC)</t>
  </si>
  <si>
    <t xml:space="preserve">Displayed for comparison only</t>
  </si>
  <si>
    <t xml:space="preserve">PaO2</t>
  </si>
  <si>
    <t xml:space="preserve">PvO2</t>
  </si>
  <si>
    <t xml:space="preserve">PaCO2</t>
  </si>
  <si>
    <t xml:space="preserve">PvCO2</t>
  </si>
  <si>
    <t xml:space="preserve">Lactate</t>
  </si>
  <si>
    <t xml:space="preserve">mmol/L</t>
  </si>
  <si>
    <t xml:space="preserve">FiO2</t>
  </si>
  <si>
    <t xml:space="preserve">For alveolar gas equation / shunt fraction</t>
  </si>
  <si>
    <t xml:space="preserve">Barometric pressure</t>
  </si>
  <si>
    <t xml:space="preserve">760 at sea level (~640 in Albuquerque)</t>
  </si>
  <si>
    <t xml:space="preserve">VO2, measured (optional)</t>
  </si>
  <si>
    <t xml:space="preserve">mL/min</t>
  </si>
  <si>
    <t xml:space="preserve">Metabolic cart / indirect calorimetry. If entered, used for a measured-Fick CO</t>
  </si>
  <si>
    <t xml:space="preserve">INPUTS: Shunt sampling (optional)</t>
  </si>
  <si>
    <t xml:space="preserve">SVC saturation</t>
  </si>
  <si>
    <t xml:space="preserve">For Qp:Qs. If IVC also entered, Flamm mixed venous = (3×SVC + IVC)/4</t>
  </si>
  <si>
    <t xml:space="preserve">IVC saturation</t>
  </si>
  <si>
    <t xml:space="preserve">PA saturation</t>
  </si>
  <si>
    <t xml:space="preserve">Leave blank to use SvO2</t>
  </si>
  <si>
    <t xml:space="preserve">Pulmonary venous saturation</t>
  </si>
  <si>
    <t xml:space="preserve">Leave blank to assume 98%</t>
  </si>
  <si>
    <t xml:space="preserve">INPUTS: Fluid responsiveness (optional)</t>
  </si>
  <si>
    <t xml:space="preserve">Pulse pressure variation</t>
  </si>
  <si>
    <t xml:space="preserve">Valid only: controlled ventilation, VT ≥8 mL/kg, sinus, closed chest</t>
  </si>
  <si>
    <t xml:space="preserve">Stroke volume variation</t>
  </si>
  <si>
    <t xml:space="preserve">Same validity limits as PPV</t>
  </si>
  <si>
    <t xml:space="preserve">INPUTS: Valves / echo (optional)</t>
  </si>
  <si>
    <t xml:space="preserve">AV mean gradient</t>
  </si>
  <si>
    <t xml:space="preserve">For Gorlin</t>
  </si>
  <si>
    <t xml:space="preserve">Systolic ejection period</t>
  </si>
  <si>
    <t xml:space="preserve">s/beat</t>
  </si>
  <si>
    <t xml:space="preserve">For Gorlin (typically 0.25–0.35)</t>
  </si>
  <si>
    <t xml:space="preserve">AV peak-to-peak gradient</t>
  </si>
  <si>
    <t xml:space="preserve">For Hakki shortcut (cath)</t>
  </si>
  <si>
    <t xml:space="preserve">LVOT diameter</t>
  </si>
  <si>
    <t xml:space="preserve">For continuity equation</t>
  </si>
  <si>
    <t xml:space="preserve">LVOT VTI</t>
  </si>
  <si>
    <t xml:space="preserve">PW Doppler</t>
  </si>
  <si>
    <t xml:space="preserve">AV VTI</t>
  </si>
  <si>
    <t xml:space="preserve">CW Doppler</t>
  </si>
  <si>
    <t xml:space="preserve">TR peak velocity</t>
  </si>
  <si>
    <t xml:space="preserve">m/s</t>
  </si>
  <si>
    <t xml:space="preserve">For RVSP</t>
  </si>
  <si>
    <t xml:space="preserve">INPUTS: Vasoactive drugs (optional; leave blank or 0 if not running)</t>
  </si>
  <si>
    <t xml:space="preserve">Dopamine</t>
  </si>
  <si>
    <t xml:space="preserve">mcg/kg/min</t>
  </si>
  <si>
    <t xml:space="preserve">Dobutamine</t>
  </si>
  <si>
    <t xml:space="preserve">Epinephrine</t>
  </si>
  <si>
    <t xml:space="preserve">Norepinephrine</t>
  </si>
  <si>
    <t xml:space="preserve">Milrinone</t>
  </si>
  <si>
    <t xml:space="preserve">Vasopressin</t>
  </si>
  <si>
    <t xml:space="preserve">U/min</t>
  </si>
  <si>
    <t xml:space="preserve">Entered in U/min; converted to U/kg/min for VIS</t>
  </si>
  <si>
    <t xml:space="preserve">INPUTS: CTICU — bypass &amp; perfusion (optional)</t>
  </si>
  <si>
    <t xml:space="preserve">Pre-bypass hematocrit</t>
  </si>
  <si>
    <t xml:space="preserve">e.g. 38</t>
  </si>
  <si>
    <t xml:space="preserve">Circuit prime volume</t>
  </si>
  <si>
    <t xml:space="preserve">mL</t>
  </si>
  <si>
    <t xml:space="preserve">Typically 1000–1500</t>
  </si>
  <si>
    <t xml:space="preserve">Cardioplegia volume</t>
  </si>
  <si>
    <t xml:space="preserve">Other crystalloid added</t>
  </si>
  <si>
    <t xml:space="preserve">Target (lowest acceptable) Hct</t>
  </si>
  <si>
    <t xml:space="preserve">For allowable blood loss</t>
  </si>
  <si>
    <t xml:space="preserve">Pump flow</t>
  </si>
  <si>
    <t xml:space="preserve">Heparin remaining</t>
  </si>
  <si>
    <t xml:space="preserve">U</t>
  </si>
  <si>
    <t xml:space="preserve">For protamine dose</t>
  </si>
  <si>
    <t xml:space="preserve">INPUTS: CTICU — thoracic &amp; ventilator (optional)</t>
  </si>
  <si>
    <t xml:space="preserve">Preop FEV1</t>
  </si>
  <si>
    <t xml:space="preserve">% predicted</t>
  </si>
  <si>
    <t xml:space="preserve">Preop DLCO</t>
  </si>
  <si>
    <t xml:space="preserve">Segments to be resected</t>
  </si>
  <si>
    <t xml:space="preserve">of 19</t>
  </si>
  <si>
    <t xml:space="preserve">RUL 3, RML 2, RLL 5, LUL 3, lingula 2, LLL 4</t>
  </si>
  <si>
    <t xml:space="preserve">Tidal volume</t>
  </si>
  <si>
    <t xml:space="preserve">Plateau pressure</t>
  </si>
  <si>
    <t xml:space="preserve">cmH2O</t>
  </si>
  <si>
    <t xml:space="preserve">PEEP</t>
  </si>
  <si>
    <t xml:space="preserve">Mean airway pressure</t>
  </si>
  <si>
    <t xml:space="preserve">Mixed expired CO2 (PĒCO2)</t>
  </si>
  <si>
    <t xml:space="preserve">Volumetric capnography; not end-tidal</t>
  </si>
  <si>
    <t xml:space="preserve">INPUTS: CTICU — ECMO (optional)</t>
  </si>
  <si>
    <t xml:space="preserve">ECMO blood flow</t>
  </si>
  <si>
    <t xml:space="preserve">Pre-oxygenator saturation</t>
  </si>
  <si>
    <t xml:space="preserve">Post-oxygenator saturation</t>
  </si>
  <si>
    <t xml:space="preserve">Pre-oxygenator PO2</t>
  </si>
  <si>
    <t xml:space="preserve">Post-oxygenator PO2</t>
  </si>
  <si>
    <t xml:space="preserve">True venous saturation (VV recirc)</t>
  </si>
  <si>
    <t xml:space="preserve">From a site the return jet doesn't reach</t>
  </si>
  <si>
    <t xml:space="preserve">INPUTS: CTICU — post-op valve echo (optional)</t>
  </si>
  <si>
    <t xml:space="preserve">PISA radius</t>
  </si>
  <si>
    <t xml:space="preserve">Aliasing velocity</t>
  </si>
  <si>
    <t xml:space="preserve">cm/s</t>
  </si>
  <si>
    <t xml:space="preserve">MR peak velocity</t>
  </si>
  <si>
    <t xml:space="preserve">MR VTI</t>
  </si>
  <si>
    <t xml:space="preserve">Mitral pressure half-time</t>
  </si>
  <si>
    <t xml:space="preserve">ms</t>
  </si>
  <si>
    <t xml:space="preserve">Mitral E velocity</t>
  </si>
  <si>
    <t xml:space="preserve">Average e′ velocity</t>
  </si>
  <si>
    <t xml:space="preserve">INPUTS: CTICU — transplant donor (optional; recipient = patient above)</t>
  </si>
  <si>
    <t xml:space="preserve">Donor age</t>
  </si>
  <si>
    <t xml:space="preserve">Donor sex (M or F)</t>
  </si>
  <si>
    <t xml:space="preserve">Donor height</t>
  </si>
  <si>
    <t xml:space="preserve">Donor weight</t>
  </si>
  <si>
    <t xml:space="preserve">OUTPUTS 1: Derived inputs</t>
  </si>
  <si>
    <t xml:space="preserve">Body surface area (Mosteller)</t>
  </si>
  <si>
    <t xml:space="preserve">m²</t>
  </si>
  <si>
    <t xml:space="preserve">√(height cm × weight kg / 3600)</t>
  </si>
  <si>
    <t xml:space="preserve">MAP used in calculations</t>
  </si>
  <si>
    <t xml:space="preserve">Measured MAP if entered, else (SBP + 2·DBP)/3</t>
  </si>
  <si>
    <t xml:space="preserve">mPAP used in calculations</t>
  </si>
  <si>
    <t xml:space="preserve">Measured mPAP if entered, else (PASP + 2·PADP)/3. PH = mPAP &gt;20</t>
  </si>
  <si>
    <t xml:space="preserve">Pulse pressure</t>
  </si>
  <si>
    <t xml:space="preserve">SBP − DBP</t>
  </si>
  <si>
    <t xml:space="preserve">OUTPUTS 2: Flow</t>
  </si>
  <si>
    <t xml:space="preserve">Cardiac index (CI)</t>
  </si>
  <si>
    <t xml:space="preserve">L/min/m²</t>
  </si>
  <si>
    <t xml:space="preserve">CO / BSA. &lt;2.2 = cardiogenic shock threshold</t>
  </si>
  <si>
    <t xml:space="preserve">Stroke volume (SV)</t>
  </si>
  <si>
    <t xml:space="preserve">CO × 1000 / HR</t>
  </si>
  <si>
    <t xml:space="preserve">Stroke volume index (SVI)</t>
  </si>
  <si>
    <t xml:space="preserve">mL/m²</t>
  </si>
  <si>
    <t xml:space="preserve">SV / BSA</t>
  </si>
  <si>
    <t xml:space="preserve">OUTPUTS 3: Resistance</t>
  </si>
  <si>
    <t xml:space="preserve">SVR</t>
  </si>
  <si>
    <t xml:space="preserve">dyn·s·cm⁻⁵</t>
  </si>
  <si>
    <t xml:space="preserve">80 × (MAP − CVP) / CO</t>
  </si>
  <si>
    <t xml:space="preserve">SVRI</t>
  </si>
  <si>
    <t xml:space="preserve">dyn·s·cm⁻⁵·m²</t>
  </si>
  <si>
    <t xml:space="preserve">80 × (MAP − CVP) / CI</t>
  </si>
  <si>
    <t xml:space="preserve">SVR (Wood units)</t>
  </si>
  <si>
    <t xml:space="preserve">WU</t>
  </si>
  <si>
    <t xml:space="preserve">(MAP − CVP) / CO</t>
  </si>
  <si>
    <t xml:space="preserve">PVR</t>
  </si>
  <si>
    <t xml:space="preserve">80 × (mPAP − PAWP) / CO. Flag set at 2 WU (160) per 2022 ESC/ERS; older references use &lt;250</t>
  </si>
  <si>
    <t xml:space="preserve">PVR (Wood units)</t>
  </si>
  <si>
    <t xml:space="preserve">(mPAP − PAWP) / CO. &gt;2 WU = pre-capillary component; &gt;3 WU transplant concern</t>
  </si>
  <si>
    <t xml:space="preserve">PVRI</t>
  </si>
  <si>
    <t xml:space="preserve">80 × (mPAP − PAWP) / CI</t>
  </si>
  <si>
    <t xml:space="preserve">Transpulmonary gradient (TPG)</t>
  </si>
  <si>
    <t xml:space="preserve">mPAP − PAWP</t>
  </si>
  <si>
    <t xml:space="preserve">Diastolic pulmonary gradient (DPG)</t>
  </si>
  <si>
    <t xml:space="preserve">PADP − PAWP. ≥7 suggests combined pre-/post-capillary PH</t>
  </si>
  <si>
    <t xml:space="preserve">OUTPUTS 4: Work &amp; power</t>
  </si>
  <si>
    <t xml:space="preserve">Cardiac power output (CPO)</t>
  </si>
  <si>
    <t xml:space="preserve">W</t>
  </si>
  <si>
    <t xml:space="preserve">MAP × CO / 451. &lt;0.6 W = high mortality in cardiogenic shock</t>
  </si>
  <si>
    <t xml:space="preserve">Cardiac power index (CPI)</t>
  </si>
  <si>
    <t xml:space="preserve">W/m²</t>
  </si>
  <si>
    <t xml:space="preserve">CPO / BSA</t>
  </si>
  <si>
    <t xml:space="preserve">LV stroke work index (LVSWI)</t>
  </si>
  <si>
    <t xml:space="preserve">g·m/m²/beat</t>
  </si>
  <si>
    <t xml:space="preserve">SVI × (MAP − PAWP) × 0.0136</t>
  </si>
  <si>
    <t xml:space="preserve">RV stroke work index (RVSWI)</t>
  </si>
  <si>
    <t xml:space="preserve">SVI × (mPAP − CVP) × 0.0136</t>
  </si>
  <si>
    <t xml:space="preserve">RVSWI (LVAD-literature units)</t>
  </si>
  <si>
    <t xml:space="preserve">mmHg·mL/m²</t>
  </si>
  <si>
    <t xml:space="preserve">SVI × (mPAP − CVP), no 0.0136. &lt;300–450 = post-LVAD RV failure risk</t>
  </si>
  <si>
    <t xml:space="preserve">OUTPUTS 5: Right ventricle</t>
  </si>
  <si>
    <t xml:space="preserve">PA pulsatility index (PAPi)</t>
  </si>
  <si>
    <t xml:space="preserve">(PASP − PADP) / RAP. &lt;0.9 in AMI; &lt;1.85 pre-LVAD predicts RV failure</t>
  </si>
  <si>
    <t xml:space="preserve">RA : PCWP ratio</t>
  </si>
  <si>
    <t xml:space="preserve">RAP / PAWP. &gt;0.63 = RV failing out of proportion to LV</t>
  </si>
  <si>
    <t xml:space="preserve">RVSP (echo)</t>
  </si>
  <si>
    <t xml:space="preserve">4 × (TR Vmax)² + RAP</t>
  </si>
  <si>
    <t xml:space="preserve">OUTPUTS 6: Oxygen transport</t>
  </si>
  <si>
    <t xml:space="preserve">Arterial O2 content (CaO2)</t>
  </si>
  <si>
    <t xml:space="preserve">mL/dL</t>
  </si>
  <si>
    <t xml:space="preserve">(1.34 × Hb × SaO2) + (0.003 × PaO2)</t>
  </si>
  <si>
    <t xml:space="preserve">Mixed venous O2 content (CvO2)</t>
  </si>
  <si>
    <t xml:space="preserve">(1.34 × Hb × SvO2) + (0.003 × PvO2)</t>
  </si>
  <si>
    <t xml:space="preserve">a-v O2 content difference</t>
  </si>
  <si>
    <t xml:space="preserve">CaO2 − CvO2</t>
  </si>
  <si>
    <t xml:space="preserve">O2 delivery (DO2)</t>
  </si>
  <si>
    <t xml:space="preserve">CO × CaO2 × 10</t>
  </si>
  <si>
    <t xml:space="preserve">O2 delivery index (DO2I)</t>
  </si>
  <si>
    <t xml:space="preserve">mL/min/m²</t>
  </si>
  <si>
    <t xml:space="preserve">CI × CaO2 × 10</t>
  </si>
  <si>
    <t xml:space="preserve">O2 consumption (VO2, reverse Fick)</t>
  </si>
  <si>
    <t xml:space="preserve">CO × (CaO2 − CvO2) × 10</t>
  </si>
  <si>
    <t xml:space="preserve">O2 consumption index (VO2I)</t>
  </si>
  <si>
    <t xml:space="preserve">CI × (CaO2 − CvO2) × 10</t>
  </si>
  <si>
    <t xml:space="preserve">O2 extraction ratio (O2ER)</t>
  </si>
  <si>
    <t xml:space="preserve">fraction</t>
  </si>
  <si>
    <t xml:space="preserve">VO2 / DO2. Critical extraction ~0.5–0.6</t>
  </si>
  <si>
    <t xml:space="preserve">O2ER (saturation shortcut)</t>
  </si>
  <si>
    <t xml:space="preserve">(SaO2 − SvO2) / SaO2</t>
  </si>
  <si>
    <t xml:space="preserve">OUTPUTS 7: Fick cardiac output</t>
  </si>
  <si>
    <t xml:space="preserve">Assumed VO2 (Dehmer)</t>
  </si>
  <si>
    <t xml:space="preserve">125 mL/min/m² × BSA</t>
  </si>
  <si>
    <t xml:space="preserve">Assumed VO2 (weight-based)</t>
  </si>
  <si>
    <t xml:space="preserve">3 mL/kg/min × weight</t>
  </si>
  <si>
    <t xml:space="preserve">Assumed VO2I (LaFarge)</t>
  </si>
  <si>
    <t xml:space="preserve">M: 138.1 − 11.49·ln(age) + 0.378·HR;  F: 138.1 − 17.04·ln(age) + 0.378·HR</t>
  </si>
  <si>
    <t xml:space="preserve">Assumed VO2 (LaFarge)</t>
  </si>
  <si>
    <t xml:space="preserve">VO2I × BSA</t>
  </si>
  <si>
    <t xml:space="preserve">Fick CO: content form, Dehmer VO2</t>
  </si>
  <si>
    <t xml:space="preserve">VO2 / [(CaO2 − CvO2) × 10]</t>
  </si>
  <si>
    <t xml:space="preserve">Fick CO: Hgb form, Dehmer VO2</t>
  </si>
  <si>
    <t xml:space="preserve">VO2 / [13.4 × Hb × (SaO2 − SvO2)] — the hemoglobin-based Fick (ignores dissolved O2)</t>
  </si>
  <si>
    <t xml:space="preserve">Fick CO: Hgb form, LaFarge VO2</t>
  </si>
  <si>
    <t xml:space="preserve">Same, using LaFarge VO2</t>
  </si>
  <si>
    <t xml:space="preserve">Fick CO: measured VO2</t>
  </si>
  <si>
    <t xml:space="preserve">Most accurate Fick, if VO2 was measured</t>
  </si>
  <si>
    <t xml:space="preserve">Fick CI (Hgb form, Dehmer)</t>
  </si>
  <si>
    <t xml:space="preserve">Compare against thermodilution CI above</t>
  </si>
  <si>
    <t xml:space="preserve">Thermodilution vs Fick difference</t>
  </si>
  <si>
    <t xml:space="preserve">Large discrepancy: suspect TR, shunt, or an off assumed VO2</t>
  </si>
  <si>
    <t xml:space="preserve">OUTPUTS 8: CO2-derived perfusion</t>
  </si>
  <si>
    <t xml:space="preserve">Pv-aCO2 gap</t>
  </si>
  <si>
    <t xml:space="preserve">PvCO2 − PaCO2. &gt;6 = inadequate flow</t>
  </si>
  <si>
    <t xml:space="preserve">CO2 gap / a-v O2 content ratio</t>
  </si>
  <si>
    <t xml:space="preserve">&gt;1.4 suggests anaerobic metabolism</t>
  </si>
  <si>
    <t xml:space="preserve">OUTPUTS 9: Shunts</t>
  </si>
  <si>
    <t xml:space="preserve">Pre-shunt mixed venous sat used</t>
  </si>
  <si>
    <t xml:space="preserve">Flamm if IVC entered, else SVC</t>
  </si>
  <si>
    <t xml:space="preserve">PA sat used</t>
  </si>
  <si>
    <t xml:space="preserve">PA sat if entered, else SvO2</t>
  </si>
  <si>
    <t xml:space="preserve">Pulmonary venous sat used</t>
  </si>
  <si>
    <t xml:space="preserve">PV sat if entered, else assumed 98%</t>
  </si>
  <si>
    <t xml:space="preserve">Qp : Qs</t>
  </si>
  <si>
    <t xml:space="preserve">(SaO2 − SmvO2) / (SpvO2 − SpaO2). &gt;1.5 = significant L→R shunt</t>
  </si>
  <si>
    <t xml:space="preserve">Alveolar PO2 (PAO2)</t>
  </si>
  <si>
    <t xml:space="preserve">FiO2 × (Patm − 47) − PaCO2 / 0.8</t>
  </si>
  <si>
    <t xml:space="preserve">A-a gradient</t>
  </si>
  <si>
    <t xml:space="preserve">PAO2 − PaO2 (normal ≈ age/4 + 4 on room air; rises with FiO2)</t>
  </si>
  <si>
    <t xml:space="preserve">P/F ratio</t>
  </si>
  <si>
    <t xml:space="preserve">PaO2 / FiO2. &lt;300 mild, &lt;200 moderate, &lt;100 severe ARDS (Berlin)</t>
  </si>
  <si>
    <t xml:space="preserve">End-capillary O2 content (CcO2)</t>
  </si>
  <si>
    <t xml:space="preserve">1.34 × Hb × 1.0 + 0.003 × PAO2</t>
  </si>
  <si>
    <t xml:space="preserve">Intrapulmonary shunt fraction (Qs/Qt)</t>
  </si>
  <si>
    <t xml:space="preserve">(CcO2 − CaO2) / (CcO2 − CvO2)</t>
  </si>
  <si>
    <t xml:space="preserve">OUTPUTS 10: Valves &amp; coronary perfusion</t>
  </si>
  <si>
    <t xml:space="preserve">LVEDP used</t>
  </si>
  <si>
    <t xml:space="preserve">LVEDP if entered, else PAWP</t>
  </si>
  <si>
    <t xml:space="preserve">Coronary perfusion pressure</t>
  </si>
  <si>
    <t xml:space="preserve">DBP − LVEDP</t>
  </si>
  <si>
    <t xml:space="preserve">AVA (Gorlin)</t>
  </si>
  <si>
    <t xml:space="preserve">cm²</t>
  </si>
  <si>
    <t xml:space="preserve">CO (mL/min) / (HR × SEP × 44.3 × √mean gradient). &lt;1.0 = severe AS</t>
  </si>
  <si>
    <t xml:space="preserve">AVA (Hakki)</t>
  </si>
  <si>
    <t xml:space="preserve">CO (L/min) / √peak-to-peak gradient</t>
  </si>
  <si>
    <t xml:space="preserve">AVA (continuity equation)</t>
  </si>
  <si>
    <t xml:space="preserve">π(LVOTd/2)² × LVOT VTI / AV VTI</t>
  </si>
  <si>
    <t xml:space="preserve">AVA index (continuity)</t>
  </si>
  <si>
    <t xml:space="preserve">cm²/m²</t>
  </si>
  <si>
    <t xml:space="preserve">&lt;0.6 = severe AS</t>
  </si>
  <si>
    <t xml:space="preserve">Echo SV (LVOT)</t>
  </si>
  <si>
    <t xml:space="preserve">LVOT area × LVOT VTI; × HR = echo CO</t>
  </si>
  <si>
    <t xml:space="preserve">OUTPUTS 11: Vasoactive burden &amp; classification</t>
  </si>
  <si>
    <t xml:space="preserve">Vasoactive-Inotropic Score (VIS)</t>
  </si>
  <si>
    <t xml:space="preserve">dopa + dobu + 100·epi + 100·NE + 10·milrinone + 10,000·vaso (U/kg/min). &gt;20–30 = high risk post cardiac surgery</t>
  </si>
  <si>
    <t xml:space="preserve">Forrester class</t>
  </si>
  <si>
    <t xml:space="preserve">CI cutoff 2.2; PAWP cutoff 18</t>
  </si>
  <si>
    <t xml:space="preserve">OUTPUTS 12: CTICU — bypass &amp; perfusion</t>
  </si>
  <si>
    <t xml:space="preserve">Estimated blood volume</t>
  </si>
  <si>
    <t xml:space="preserve">70 mL/kg men, 65 mL/kg women</t>
  </si>
  <si>
    <t xml:space="preserve">Predicted Hct on bypass</t>
  </si>
  <si>
    <t xml:space="preserve">EBV × Hct / (EBV + prime + cardioplegia + crystalloid). Keep ≥21–24%</t>
  </si>
  <si>
    <t xml:space="preserve">Allowable blood loss</t>
  </si>
  <si>
    <t xml:space="preserve">EBV × (Hct initial − Hct target) / Hct average</t>
  </si>
  <si>
    <t xml:space="preserve">Pump flow index</t>
  </si>
  <si>
    <t xml:space="preserve">Pump flow / BSA</t>
  </si>
  <si>
    <t xml:space="preserve">DO2I on bypass</t>
  </si>
  <si>
    <t xml:space="preserve">Pump flow index × CaO2 × 10 (enter on-bypass Hb/ABG above). &lt;272–280 ↑ AKI risk</t>
  </si>
  <si>
    <t xml:space="preserve">Heparin load (300 U/kg)</t>
  </si>
  <si>
    <t xml:space="preserve">Target ACT &gt;480 s before bypass</t>
  </si>
  <si>
    <t xml:space="preserve">Heparin load (400 U/kg)</t>
  </si>
  <si>
    <t xml:space="preserve">Protamine (1 mg/100 U)</t>
  </si>
  <si>
    <t xml:space="preserve">mg</t>
  </si>
  <si>
    <t xml:space="preserve">1 mg per 100 U heparin remaining</t>
  </si>
  <si>
    <t xml:space="preserve">Protamine (1.3 mg/100 U)</t>
  </si>
  <si>
    <t xml:space="preserve">Upper end of range</t>
  </si>
  <si>
    <t xml:space="preserve">OUTPUTS 13: CTICU — thoracic &amp; ventilator</t>
  </si>
  <si>
    <t xml:space="preserve">ppoFEV1</t>
  </si>
  <si>
    <t xml:space="preserve">&gt;60% low risk; &lt;30–40% high risk</t>
  </si>
  <si>
    <t xml:space="preserve">ppoDLCO</t>
  </si>
  <si>
    <t xml:space="preserve">Driving pressure</t>
  </si>
  <si>
    <t xml:space="preserve">Pplat − PEEP. Keep &lt;15</t>
  </si>
  <si>
    <t xml:space="preserve">Static compliance</t>
  </si>
  <si>
    <t xml:space="preserve">mL/cmH2O</t>
  </si>
  <si>
    <t xml:space="preserve">VT / (Pplat − PEEP)</t>
  </si>
  <si>
    <t xml:space="preserve">Tidal volume per kg PBW</t>
  </si>
  <si>
    <t xml:space="preserve">mL/kg PBW</t>
  </si>
  <si>
    <t xml:space="preserve">PBW: men 50 + 0.91(ht cm − 152.4); women 45.5 + 0.91(ht cm − 152.4). 6–8 two-lung; 4–6 one-lung</t>
  </si>
  <si>
    <t xml:space="preserve">Dead space fraction (Bohr-Enghoff)</t>
  </si>
  <si>
    <t xml:space="preserve">(PaCO2 − PĒCO2) / PaCO2</t>
  </si>
  <si>
    <t xml:space="preserve">Oxygenation index</t>
  </si>
  <si>
    <t xml:space="preserve">FiO2 × Paw × 100 / PaO2. &gt;20–25 severe</t>
  </si>
  <si>
    <t xml:space="preserve">OUTPUTS 14: CTICU — ECMO</t>
  </si>
  <si>
    <t xml:space="preserve">VV recirculation fraction</t>
  </si>
  <si>
    <t xml:space="preserve">(Spre − SvO2) / (Spost − SvO2)</t>
  </si>
  <si>
    <t xml:space="preserve">Pre-oxygenator O2 content</t>
  </si>
  <si>
    <t xml:space="preserve">Post-oxygenator O2 content</t>
  </si>
  <si>
    <t xml:space="preserve">Oxygenator O2 transfer</t>
  </si>
  <si>
    <t xml:space="preserve">Q × (CpostO2 − CpreO2) × 10</t>
  </si>
  <si>
    <t xml:space="preserve">ECMO flow per kg</t>
  </si>
  <si>
    <t xml:space="preserve">mL/kg/min</t>
  </si>
  <si>
    <t xml:space="preserve">VV typically 60–80</t>
  </si>
  <si>
    <t xml:space="preserve">Post-oxygenator PO2 check</t>
  </si>
  <si>
    <t xml:space="preserve">&lt;150–200 on FiO2 1.0 suggests oxygenator failure</t>
  </si>
  <si>
    <t xml:space="preserve">OUTPUTS 15: CTICU — post-op valve echo</t>
  </si>
  <si>
    <t xml:space="preserve">EROA (PISA)</t>
  </si>
  <si>
    <t xml:space="preserve">2πr² × Valias / Vmax. ≥0.40 severe primary MR</t>
  </si>
  <si>
    <t xml:space="preserve">Regurgitant volume</t>
  </si>
  <si>
    <t xml:space="preserve">EROA × VTI. ≥60 mL severe</t>
  </si>
  <si>
    <t xml:space="preserve">MVA (pressure half-time)</t>
  </si>
  <si>
    <t xml:space="preserve">220 / PHT. ≤1.5 severe MS</t>
  </si>
  <si>
    <t xml:space="preserve">E/e′ (average)</t>
  </si>
  <si>
    <t xml:space="preserve">&gt;14 suggests elevated LA pressure</t>
  </si>
  <si>
    <t xml:space="preserve">OUTPUTS 16: CTICU — transplant size matching</t>
  </si>
  <si>
    <t xml:space="preserve">Recipient predicted LV mass</t>
  </si>
  <si>
    <t xml:space="preserve">g</t>
  </si>
  <si>
    <t xml:space="preserve">a × ht(m)^0.54 × wt^0.61; a 8.25 men, 6.82 women</t>
  </si>
  <si>
    <t xml:space="preserve">Recipient predicted RV mass</t>
  </si>
  <si>
    <t xml:space="preserve">a × age^−0.32 × ht(m)^1.135 × wt^0.315; a 11.25 men, 10.59 women</t>
  </si>
  <si>
    <t xml:space="preserve">Recipient PHM</t>
  </si>
  <si>
    <t xml:space="preserve">LV + RV mass</t>
  </si>
  <si>
    <t xml:space="preserve">Donor predicted LV mass</t>
  </si>
  <si>
    <t xml:space="preserve">Donor predicted RV mass</t>
  </si>
  <si>
    <t xml:space="preserve">Donor PHM</t>
  </si>
  <si>
    <t xml:space="preserve">PHM mismatch</t>
  </si>
  <si>
    <t xml:space="preserve">(donor − recipient) / recipient (UNOS convention). Undersizing worse than −30% = risk</t>
  </si>
  <si>
    <t xml:space="preserve">Recipient predicted TLC</t>
  </si>
  <si>
    <t xml:space="preserve">L</t>
  </si>
  <si>
    <t xml:space="preserve">Men 7.99·ht(m) − 7.08; women 6.60·ht(m) − 5.79</t>
  </si>
  <si>
    <t xml:space="preserve">Donor predicted TLC</t>
  </si>
  <si>
    <t xml:space="preserve">pTLC ratio (donor / recipient)</t>
  </si>
  <si>
    <t xml:space="preserve">~0.8–1.2 commonly accepted</t>
  </si>
  <si>
    <t xml:space="preserve">Normal ranges vary modestly between references. Example values are illustrative only. Saturations are entered as percents and converted to decimals inside formulas.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</si>
</sst>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"/>
    <numFmt numFmtId="167" formatCode="0.0"/>
    <numFmt numFmtId="168" formatCode="0%"/>
    <numFmt numFmtId="169" formatCode="@"/>
    <numFmt numFmtId="170" formatCode="#,##0"/>
    <numFmt numFmtId="171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324A"/>
      <name val="Arial"/>
      <family val="0"/>
      <charset val="1"/>
    </font>
    <font>
      <i val="true"/>
      <sz val="9"/>
      <name val="Arial"/>
      <family val="0"/>
      <charset val="1"/>
    </font>
    <font>
      <b val="true"/>
      <sz val="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4324A"/>
      <name val="Arial"/>
      <family val="0"/>
      <charset val="1"/>
    </font>
    <font>
      <sz val="10"/>
      <name val="Arial"/>
      <family val="0"/>
      <charset val="1"/>
    </font>
    <font>
      <i val="true"/>
      <sz val="8.5"/>
      <color rgb="FF555555"/>
      <name val="Arial"/>
      <family val="0"/>
      <charset val="1"/>
    </font>
    <font>
      <sz val="9"/>
      <color rgb="FF5555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4324A"/>
        <bgColor rgb="FF333333"/>
      </patternFill>
    </fill>
    <fill>
      <patternFill patternType="solid">
        <fgColor rgb="FFDDEBF0"/>
        <bgColor rgb="FFD9EAD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DC"/>
      </left>
      <right style="thin">
        <color rgb="FFC9D6DC"/>
      </right>
      <top style="thin">
        <color rgb="FFC9D6DC"/>
      </top>
      <bottom style="thin">
        <color rgb="FFC9D6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9C0006"/>
      </font>
      <fill>
        <patternFill>
          <bgColor rgb="FFF4CCCC"/>
        </patternFill>
      </fill>
    </dxf>
    <dxf>
      <font>
        <b val="1"/>
        <color rgb="FF006100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0"/>
      <rgbColor rgb="FF660066"/>
      <rgbColor rgb="FFFF8080"/>
      <rgbColor rgb="FF0066CC"/>
      <rgbColor rgb="FFC9D6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4324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10"/>
    <col collapsed="false" customWidth="true" hidden="false" outlineLevel="0" max="6" min="6" style="0" width="9"/>
    <col collapsed="false" customWidth="true" hidden="false" outlineLevel="0" max="7" min="7" style="0" width="70"/>
  </cols>
  <sheetData>
    <row r="1" customFormat="false" ht="19.7" hidden="false" customHeight="false" outlineLevel="0" collapsed="false">
      <c r="A1" s="1" t="s">
        <v>0</v>
      </c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4" t="s">
        <v>3</v>
      </c>
      <c r="C3" s="5" t="s">
        <v>4</v>
      </c>
      <c r="D3" s="6" t="s">
        <v>5</v>
      </c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7"/>
    </row>
    <row r="6" customFormat="false" ht="15" hidden="false" customHeight="false" outlineLevel="0" collapsed="false">
      <c r="A6" s="8" t="s">
        <v>6</v>
      </c>
      <c r="B6" s="9"/>
      <c r="C6" s="9"/>
      <c r="D6" s="9"/>
      <c r="E6" s="9"/>
      <c r="F6" s="9"/>
      <c r="G6" s="9"/>
    </row>
    <row r="7" customFormat="false" ht="15" hidden="false" customHeight="false" outlineLevel="0" collapsed="fals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13</v>
      </c>
    </row>
    <row r="8" customFormat="false" ht="15" hidden="false" customHeight="false" outlineLevel="0" collapsed="false">
      <c r="A8" s="11" t="s">
        <v>14</v>
      </c>
      <c r="B8" s="12" t="n">
        <v>178</v>
      </c>
      <c r="C8" s="11" t="s">
        <v>15</v>
      </c>
      <c r="D8" s="7"/>
      <c r="E8" s="7"/>
      <c r="F8" s="7"/>
      <c r="G8" s="13"/>
    </row>
    <row r="9" customFormat="false" ht="15" hidden="false" customHeight="false" outlineLevel="0" collapsed="false">
      <c r="A9" s="11" t="s">
        <v>16</v>
      </c>
      <c r="B9" s="12" t="n">
        <v>88</v>
      </c>
      <c r="C9" s="11" t="s">
        <v>17</v>
      </c>
      <c r="D9" s="7"/>
      <c r="E9" s="7"/>
      <c r="F9" s="7"/>
      <c r="G9" s="13"/>
    </row>
    <row r="10" customFormat="false" ht="15" hidden="false" customHeight="false" outlineLevel="0" collapsed="false">
      <c r="A10" s="11" t="s">
        <v>18</v>
      </c>
      <c r="B10" s="12" t="n">
        <v>64</v>
      </c>
      <c r="C10" s="11" t="s">
        <v>19</v>
      </c>
      <c r="D10" s="7"/>
      <c r="E10" s="7"/>
      <c r="F10" s="7"/>
      <c r="G10" s="13" t="s">
        <v>20</v>
      </c>
    </row>
    <row r="11" customFormat="false" ht="15" hidden="false" customHeight="false" outlineLevel="0" collapsed="false">
      <c r="A11" s="11" t="s">
        <v>21</v>
      </c>
      <c r="B11" s="12" t="s">
        <v>22</v>
      </c>
      <c r="C11" s="11"/>
      <c r="D11" s="7"/>
      <c r="E11" s="7"/>
      <c r="F11" s="7"/>
      <c r="G11" s="13" t="s">
        <v>20</v>
      </c>
    </row>
    <row r="12" customFormat="false" ht="15" hidden="false" customHeight="false" outlineLevel="0" collapsed="false">
      <c r="A12" s="11" t="s">
        <v>23</v>
      </c>
      <c r="B12" s="12" t="n">
        <v>104</v>
      </c>
      <c r="C12" s="11" t="s">
        <v>24</v>
      </c>
      <c r="D12" s="14" t="n">
        <v>60</v>
      </c>
      <c r="E12" s="14" t="n">
        <v>100</v>
      </c>
      <c r="F12" s="15" t="str">
        <f aca="false">IF(NOT(ISNUMBER(B12)),"",IF(AND(ISNUMBER(D12),B12&lt;D12),"LOW",IF(AND(ISNUMBER(E12),B12&gt;E12),"HIGH","OK")))</f>
        <v>HIGH</v>
      </c>
      <c r="G12" s="13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</row>
    <row r="14" customFormat="false" ht="15" hidden="false" customHeight="false" outlineLevel="0" collapsed="false">
      <c r="A14" s="8" t="s">
        <v>25</v>
      </c>
      <c r="B14" s="9"/>
      <c r="C14" s="9"/>
      <c r="D14" s="9"/>
      <c r="E14" s="9"/>
      <c r="F14" s="9"/>
      <c r="G14" s="9"/>
    </row>
    <row r="15" customFormat="false" ht="15" hidden="false" customHeight="false" outlineLevel="0" collapsed="false">
      <c r="A15" s="10" t="s">
        <v>7</v>
      </c>
      <c r="B15" s="10" t="s">
        <v>8</v>
      </c>
      <c r="C15" s="10" t="s">
        <v>9</v>
      </c>
      <c r="D15" s="10" t="s">
        <v>10</v>
      </c>
      <c r="E15" s="10" t="s">
        <v>11</v>
      </c>
      <c r="F15" s="10" t="s">
        <v>12</v>
      </c>
      <c r="G15" s="10" t="s">
        <v>13</v>
      </c>
    </row>
    <row r="16" customFormat="false" ht="15" hidden="false" customHeight="false" outlineLevel="0" collapsed="false">
      <c r="A16" s="11" t="s">
        <v>26</v>
      </c>
      <c r="B16" s="12" t="n">
        <v>98</v>
      </c>
      <c r="C16" s="11" t="s">
        <v>27</v>
      </c>
      <c r="D16" s="7"/>
      <c r="E16" s="7"/>
      <c r="F16" s="7"/>
      <c r="G16" s="13"/>
    </row>
    <row r="17" customFormat="false" ht="15" hidden="false" customHeight="false" outlineLevel="0" collapsed="false">
      <c r="A17" s="11" t="s">
        <v>28</v>
      </c>
      <c r="B17" s="12" t="n">
        <v>54</v>
      </c>
      <c r="C17" s="11" t="s">
        <v>27</v>
      </c>
      <c r="D17" s="7"/>
      <c r="E17" s="7"/>
      <c r="F17" s="7"/>
      <c r="G17" s="13"/>
    </row>
    <row r="18" customFormat="false" ht="15" hidden="false" customHeight="false" outlineLevel="0" collapsed="false">
      <c r="A18" s="11" t="s">
        <v>29</v>
      </c>
      <c r="B18" s="12"/>
      <c r="C18" s="11" t="s">
        <v>27</v>
      </c>
      <c r="D18" s="7"/>
      <c r="E18" s="7"/>
      <c r="F18" s="7"/>
      <c r="G18" s="13" t="s">
        <v>30</v>
      </c>
    </row>
    <row r="19" customFormat="false" ht="15" hidden="false" customHeight="false" outlineLevel="0" collapsed="false">
      <c r="A19" s="11" t="s">
        <v>31</v>
      </c>
      <c r="B19" s="12" t="n">
        <v>13</v>
      </c>
      <c r="C19" s="11" t="s">
        <v>27</v>
      </c>
      <c r="D19" s="14" t="n">
        <v>2</v>
      </c>
      <c r="E19" s="14" t="n">
        <v>8</v>
      </c>
      <c r="F19" s="15" t="str">
        <f aca="false">IF(NOT(ISNUMBER(B19)),"",IF(AND(ISNUMBER(D19),B19&lt;D19),"LOW",IF(AND(ISNUMBER(E19),B19&gt;E19),"HIGH","OK")))</f>
        <v>HIGH</v>
      </c>
      <c r="G19" s="13" t="s">
        <v>32</v>
      </c>
    </row>
    <row r="20" customFormat="false" ht="15" hidden="false" customHeight="false" outlineLevel="0" collapsed="false">
      <c r="A20" s="11" t="s">
        <v>33</v>
      </c>
      <c r="B20" s="12" t="n">
        <v>42</v>
      </c>
      <c r="C20" s="11" t="s">
        <v>27</v>
      </c>
      <c r="D20" s="7"/>
      <c r="E20" s="7"/>
      <c r="F20" s="7"/>
      <c r="G20" s="13"/>
    </row>
    <row r="21" customFormat="false" ht="15" hidden="false" customHeight="false" outlineLevel="0" collapsed="false">
      <c r="A21" s="11" t="s">
        <v>34</v>
      </c>
      <c r="B21" s="12" t="n">
        <v>20</v>
      </c>
      <c r="C21" s="11" t="s">
        <v>27</v>
      </c>
      <c r="D21" s="7"/>
      <c r="E21" s="7"/>
      <c r="F21" s="7"/>
      <c r="G21" s="13"/>
    </row>
    <row r="22" customFormat="false" ht="15" hidden="false" customHeight="false" outlineLevel="0" collapsed="false">
      <c r="A22" s="11" t="s">
        <v>35</v>
      </c>
      <c r="B22" s="12"/>
      <c r="C22" s="11" t="s">
        <v>27</v>
      </c>
      <c r="D22" s="7"/>
      <c r="E22" s="7"/>
      <c r="F22" s="7"/>
      <c r="G22" s="13" t="s">
        <v>36</v>
      </c>
    </row>
    <row r="23" customFormat="false" ht="15" hidden="false" customHeight="false" outlineLevel="0" collapsed="false">
      <c r="A23" s="11" t="s">
        <v>37</v>
      </c>
      <c r="B23" s="12" t="n">
        <v>17</v>
      </c>
      <c r="C23" s="11" t="s">
        <v>27</v>
      </c>
      <c r="D23" s="14" t="n">
        <v>6</v>
      </c>
      <c r="E23" s="14" t="n">
        <v>12</v>
      </c>
      <c r="F23" s="15" t="str">
        <f aca="false">IF(NOT(ISNUMBER(B23)),"",IF(AND(ISNUMBER(D23),B23&lt;D23),"LOW",IF(AND(ISNUMBER(E23),B23&gt;E23),"HIGH","OK")))</f>
        <v>HIGH</v>
      </c>
      <c r="G23" s="13" t="s">
        <v>38</v>
      </c>
    </row>
    <row r="24" customFormat="false" ht="15" hidden="false" customHeight="false" outlineLevel="0" collapsed="false">
      <c r="A24" s="11" t="s">
        <v>39</v>
      </c>
      <c r="B24" s="12"/>
      <c r="C24" s="11" t="s">
        <v>27</v>
      </c>
      <c r="D24" s="7"/>
      <c r="E24" s="7"/>
      <c r="F24" s="7"/>
      <c r="G24" s="13" t="s">
        <v>40</v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</row>
    <row r="26" customFormat="false" ht="15" hidden="false" customHeight="false" outlineLevel="0" collapsed="false">
      <c r="A26" s="8" t="s">
        <v>41</v>
      </c>
      <c r="B26" s="9"/>
      <c r="C26" s="9"/>
      <c r="D26" s="9"/>
      <c r="E26" s="9"/>
      <c r="F26" s="9"/>
      <c r="G26" s="9"/>
    </row>
    <row r="27" customFormat="false" ht="15" hidden="false" customHeight="false" outlineLevel="0" collapsed="false">
      <c r="A27" s="10" t="s">
        <v>7</v>
      </c>
      <c r="B27" s="10" t="s">
        <v>8</v>
      </c>
      <c r="C27" s="10" t="s">
        <v>9</v>
      </c>
      <c r="D27" s="10" t="s">
        <v>10</v>
      </c>
      <c r="E27" s="10" t="s">
        <v>11</v>
      </c>
      <c r="F27" s="10" t="s">
        <v>12</v>
      </c>
      <c r="G27" s="10" t="s">
        <v>13</v>
      </c>
    </row>
    <row r="28" customFormat="false" ht="15" hidden="false" customHeight="false" outlineLevel="0" collapsed="false">
      <c r="A28" s="11" t="s">
        <v>42</v>
      </c>
      <c r="B28" s="12" t="n">
        <v>3.6</v>
      </c>
      <c r="C28" s="11" t="s">
        <v>43</v>
      </c>
      <c r="D28" s="14" t="n">
        <v>4</v>
      </c>
      <c r="E28" s="14" t="n">
        <v>8</v>
      </c>
      <c r="F28" s="15" t="str">
        <f aca="false">IF(NOT(ISNUMBER(B28)),"",IF(AND(ISNUMBER(D28),B28&lt;D28),"LOW",IF(AND(ISNUMBER(E28),B28&gt;E28),"HIGH","OK")))</f>
        <v>LOW</v>
      </c>
      <c r="G28" s="13" t="s">
        <v>44</v>
      </c>
    </row>
    <row r="29" customFormat="false" ht="15" hidden="false" customHeight="false" outlineLevel="0" collapsed="false">
      <c r="A29" s="11" t="s">
        <v>45</v>
      </c>
      <c r="B29" s="12" t="n">
        <v>9.4</v>
      </c>
      <c r="C29" s="11" t="s">
        <v>46</v>
      </c>
      <c r="D29" s="7"/>
      <c r="E29" s="7"/>
      <c r="F29" s="7"/>
      <c r="G29" s="13"/>
    </row>
    <row r="30" customFormat="false" ht="15" hidden="false" customHeight="false" outlineLevel="0" collapsed="false">
      <c r="A30" s="11" t="s">
        <v>47</v>
      </c>
      <c r="B30" s="12" t="n">
        <v>97</v>
      </c>
      <c r="C30" s="11" t="s">
        <v>48</v>
      </c>
      <c r="D30" s="7"/>
      <c r="E30" s="7"/>
      <c r="F30" s="7"/>
      <c r="G30" s="13" t="s">
        <v>49</v>
      </c>
    </row>
    <row r="31" customFormat="false" ht="15" hidden="false" customHeight="false" outlineLevel="0" collapsed="false">
      <c r="A31" s="11" t="s">
        <v>50</v>
      </c>
      <c r="B31" s="12" t="n">
        <v>56</v>
      </c>
      <c r="C31" s="11" t="s">
        <v>48</v>
      </c>
      <c r="D31" s="14" t="n">
        <v>65</v>
      </c>
      <c r="E31" s="14" t="n">
        <v>75</v>
      </c>
      <c r="F31" s="15" t="str">
        <f aca="false">IF(NOT(ISNUMBER(B31)),"",IF(AND(ISNUMBER(D31),B31&lt;D31),"LOW",IF(AND(ISNUMBER(E31),B31&gt;E31),"HIGH","OK")))</f>
        <v>LOW</v>
      </c>
      <c r="G31" s="13"/>
    </row>
    <row r="32" customFormat="false" ht="15" hidden="false" customHeight="false" outlineLevel="0" collapsed="false">
      <c r="A32" s="11" t="s">
        <v>51</v>
      </c>
      <c r="B32" s="12"/>
      <c r="C32" s="11" t="s">
        <v>48</v>
      </c>
      <c r="D32" s="14" t="n">
        <v>70</v>
      </c>
      <c r="E32" s="14"/>
      <c r="F32" s="15" t="str">
        <f aca="false">IF(NOT(ISNUMBER(B32)),"",IF(AND(ISNUMBER(D32),B32&lt;D32),"LOW",IF(AND(ISNUMBER(E32),B32&gt;E32),"HIGH","OK")))</f>
        <v/>
      </c>
      <c r="G32" s="13" t="s">
        <v>52</v>
      </c>
    </row>
    <row r="33" customFormat="false" ht="15" hidden="false" customHeight="false" outlineLevel="0" collapsed="false">
      <c r="A33" s="11" t="s">
        <v>53</v>
      </c>
      <c r="B33" s="12" t="n">
        <v>110</v>
      </c>
      <c r="C33" s="11" t="s">
        <v>27</v>
      </c>
      <c r="D33" s="7"/>
      <c r="E33" s="7"/>
      <c r="F33" s="7"/>
      <c r="G33" s="13"/>
    </row>
    <row r="34" customFormat="false" ht="15" hidden="false" customHeight="false" outlineLevel="0" collapsed="false">
      <c r="A34" s="11" t="s">
        <v>54</v>
      </c>
      <c r="B34" s="12" t="n">
        <v>31</v>
      </c>
      <c r="C34" s="11" t="s">
        <v>27</v>
      </c>
      <c r="D34" s="7"/>
      <c r="E34" s="7"/>
      <c r="F34" s="7"/>
      <c r="G34" s="13"/>
    </row>
    <row r="35" customFormat="false" ht="15" hidden="false" customHeight="false" outlineLevel="0" collapsed="false">
      <c r="A35" s="11" t="s">
        <v>55</v>
      </c>
      <c r="B35" s="12" t="n">
        <v>39</v>
      </c>
      <c r="C35" s="11" t="s">
        <v>27</v>
      </c>
      <c r="D35" s="7"/>
      <c r="E35" s="7"/>
      <c r="F35" s="7"/>
      <c r="G35" s="13"/>
    </row>
    <row r="36" customFormat="false" ht="15" hidden="false" customHeight="false" outlineLevel="0" collapsed="false">
      <c r="A36" s="11" t="s">
        <v>56</v>
      </c>
      <c r="B36" s="12" t="n">
        <v>48</v>
      </c>
      <c r="C36" s="11" t="s">
        <v>27</v>
      </c>
      <c r="D36" s="7"/>
      <c r="E36" s="7"/>
      <c r="F36" s="7"/>
      <c r="G36" s="13"/>
    </row>
    <row r="37" customFormat="false" ht="15" hidden="false" customHeight="false" outlineLevel="0" collapsed="false">
      <c r="A37" s="11" t="s">
        <v>57</v>
      </c>
      <c r="B37" s="12" t="n">
        <v>3.1</v>
      </c>
      <c r="C37" s="11" t="s">
        <v>58</v>
      </c>
      <c r="D37" s="14"/>
      <c r="E37" s="14" t="n">
        <v>2</v>
      </c>
      <c r="F37" s="15" t="str">
        <f aca="false">IF(NOT(ISNUMBER(B37)),"",IF(AND(ISNUMBER(D37),B37&lt;D37),"LOW",IF(AND(ISNUMBER(E37),B37&gt;E37),"HIGH","OK")))</f>
        <v>HIGH</v>
      </c>
      <c r="G37" s="13"/>
    </row>
    <row r="38" customFormat="false" ht="15" hidden="false" customHeight="false" outlineLevel="0" collapsed="false">
      <c r="A38" s="11" t="s">
        <v>59</v>
      </c>
      <c r="B38" s="12" t="n">
        <v>50</v>
      </c>
      <c r="C38" s="11" t="s">
        <v>48</v>
      </c>
      <c r="D38" s="7"/>
      <c r="E38" s="7"/>
      <c r="F38" s="7"/>
      <c r="G38" s="13" t="s">
        <v>60</v>
      </c>
    </row>
    <row r="39" customFormat="false" ht="15" hidden="false" customHeight="false" outlineLevel="0" collapsed="false">
      <c r="A39" s="11" t="s">
        <v>61</v>
      </c>
      <c r="B39" s="12" t="n">
        <v>760</v>
      </c>
      <c r="C39" s="11" t="s">
        <v>27</v>
      </c>
      <c r="D39" s="7"/>
      <c r="E39" s="7"/>
      <c r="F39" s="7"/>
      <c r="G39" s="13" t="s">
        <v>62</v>
      </c>
    </row>
    <row r="40" customFormat="false" ht="15" hidden="false" customHeight="false" outlineLevel="0" collapsed="false">
      <c r="A40" s="11" t="s">
        <v>63</v>
      </c>
      <c r="B40" s="12"/>
      <c r="C40" s="11" t="s">
        <v>64</v>
      </c>
      <c r="D40" s="7"/>
      <c r="E40" s="7"/>
      <c r="F40" s="7"/>
      <c r="G40" s="13" t="s">
        <v>65</v>
      </c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</row>
    <row r="42" customFormat="false" ht="15" hidden="false" customHeight="false" outlineLevel="0" collapsed="false">
      <c r="A42" s="8" t="s">
        <v>66</v>
      </c>
      <c r="B42" s="9"/>
      <c r="C42" s="9"/>
      <c r="D42" s="9"/>
      <c r="E42" s="9"/>
      <c r="F42" s="9"/>
      <c r="G42" s="9"/>
    </row>
    <row r="43" customFormat="false" ht="15" hidden="false" customHeight="false" outlineLevel="0" collapsed="false">
      <c r="A43" s="10" t="s">
        <v>7</v>
      </c>
      <c r="B43" s="10" t="s">
        <v>8</v>
      </c>
      <c r="C43" s="10" t="s">
        <v>9</v>
      </c>
      <c r="D43" s="10" t="s">
        <v>10</v>
      </c>
      <c r="E43" s="10" t="s">
        <v>11</v>
      </c>
      <c r="F43" s="10" t="s">
        <v>12</v>
      </c>
      <c r="G43" s="10" t="s">
        <v>13</v>
      </c>
    </row>
    <row r="44" customFormat="false" ht="15" hidden="false" customHeight="false" outlineLevel="0" collapsed="false">
      <c r="A44" s="11" t="s">
        <v>67</v>
      </c>
      <c r="B44" s="12"/>
      <c r="C44" s="11" t="s">
        <v>48</v>
      </c>
      <c r="D44" s="7"/>
      <c r="E44" s="7"/>
      <c r="F44" s="7"/>
      <c r="G44" s="13" t="s">
        <v>68</v>
      </c>
    </row>
    <row r="45" customFormat="false" ht="15" hidden="false" customHeight="false" outlineLevel="0" collapsed="false">
      <c r="A45" s="11" t="s">
        <v>69</v>
      </c>
      <c r="B45" s="12"/>
      <c r="C45" s="11" t="s">
        <v>48</v>
      </c>
      <c r="D45" s="7"/>
      <c r="E45" s="7"/>
      <c r="F45" s="7"/>
      <c r="G45" s="13"/>
    </row>
    <row r="46" customFormat="false" ht="15" hidden="false" customHeight="false" outlineLevel="0" collapsed="false">
      <c r="A46" s="11" t="s">
        <v>70</v>
      </c>
      <c r="B46" s="12"/>
      <c r="C46" s="11" t="s">
        <v>48</v>
      </c>
      <c r="D46" s="7"/>
      <c r="E46" s="7"/>
      <c r="F46" s="7"/>
      <c r="G46" s="13" t="s">
        <v>71</v>
      </c>
    </row>
    <row r="47" customFormat="false" ht="15" hidden="false" customHeight="false" outlineLevel="0" collapsed="false">
      <c r="A47" s="11" t="s">
        <v>72</v>
      </c>
      <c r="B47" s="12"/>
      <c r="C47" s="11" t="s">
        <v>48</v>
      </c>
      <c r="D47" s="7"/>
      <c r="E47" s="7"/>
      <c r="F47" s="7"/>
      <c r="G47" s="13" t="s">
        <v>73</v>
      </c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</row>
    <row r="49" customFormat="false" ht="15" hidden="false" customHeight="false" outlineLevel="0" collapsed="false">
      <c r="A49" s="8" t="s">
        <v>74</v>
      </c>
      <c r="B49" s="9"/>
      <c r="C49" s="9"/>
      <c r="D49" s="9"/>
      <c r="E49" s="9"/>
      <c r="F49" s="9"/>
      <c r="G49" s="9"/>
    </row>
    <row r="50" customFormat="false" ht="15" hidden="false" customHeight="false" outlineLevel="0" collapsed="false">
      <c r="A50" s="10" t="s">
        <v>7</v>
      </c>
      <c r="B50" s="10" t="s">
        <v>8</v>
      </c>
      <c r="C50" s="10" t="s">
        <v>9</v>
      </c>
      <c r="D50" s="10" t="s">
        <v>10</v>
      </c>
      <c r="E50" s="10" t="s">
        <v>11</v>
      </c>
      <c r="F50" s="10" t="s">
        <v>12</v>
      </c>
      <c r="G50" s="10" t="s">
        <v>13</v>
      </c>
    </row>
    <row r="51" customFormat="false" ht="15" hidden="false" customHeight="false" outlineLevel="0" collapsed="false">
      <c r="A51" s="11" t="s">
        <v>75</v>
      </c>
      <c r="B51" s="12"/>
      <c r="C51" s="11" t="s">
        <v>48</v>
      </c>
      <c r="D51" s="14"/>
      <c r="E51" s="14" t="n">
        <v>13</v>
      </c>
      <c r="F51" s="15" t="str">
        <f aca="false">IF(NOT(ISNUMBER(B51)),"",IF(AND(ISNUMBER(D51),B51&lt;D51),"LOW",IF(AND(ISNUMBER(E51),B51&gt;E51),"HIGH","OK")))</f>
        <v/>
      </c>
      <c r="G51" s="13" t="s">
        <v>76</v>
      </c>
    </row>
    <row r="52" customFormat="false" ht="15" hidden="false" customHeight="false" outlineLevel="0" collapsed="false">
      <c r="A52" s="11" t="s">
        <v>77</v>
      </c>
      <c r="B52" s="12"/>
      <c r="C52" s="11" t="s">
        <v>48</v>
      </c>
      <c r="D52" s="14"/>
      <c r="E52" s="14" t="n">
        <v>12</v>
      </c>
      <c r="F52" s="15" t="str">
        <f aca="false">IF(NOT(ISNUMBER(B52)),"",IF(AND(ISNUMBER(D52),B52&lt;D52),"LOW",IF(AND(ISNUMBER(E52),B52&gt;E52),"HIGH","OK")))</f>
        <v/>
      </c>
      <c r="G52" s="13" t="s">
        <v>78</v>
      </c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7"/>
    </row>
    <row r="54" customFormat="false" ht="15" hidden="false" customHeight="false" outlineLevel="0" collapsed="false">
      <c r="A54" s="8" t="s">
        <v>79</v>
      </c>
      <c r="B54" s="9"/>
      <c r="C54" s="9"/>
      <c r="D54" s="9"/>
      <c r="E54" s="9"/>
      <c r="F54" s="9"/>
      <c r="G54" s="9"/>
    </row>
    <row r="55" customFormat="false" ht="15" hidden="false" customHeight="false" outlineLevel="0" collapsed="false">
      <c r="A55" s="10" t="s">
        <v>7</v>
      </c>
      <c r="B55" s="10" t="s">
        <v>8</v>
      </c>
      <c r="C55" s="10" t="s">
        <v>9</v>
      </c>
      <c r="D55" s="10" t="s">
        <v>10</v>
      </c>
      <c r="E55" s="10" t="s">
        <v>11</v>
      </c>
      <c r="F55" s="10" t="s">
        <v>12</v>
      </c>
      <c r="G55" s="10" t="s">
        <v>13</v>
      </c>
    </row>
    <row r="56" customFormat="false" ht="15" hidden="false" customHeight="false" outlineLevel="0" collapsed="false">
      <c r="A56" s="11" t="s">
        <v>80</v>
      </c>
      <c r="B56" s="12"/>
      <c r="C56" s="11" t="s">
        <v>27</v>
      </c>
      <c r="D56" s="7"/>
      <c r="E56" s="7"/>
      <c r="F56" s="7"/>
      <c r="G56" s="13" t="s">
        <v>81</v>
      </c>
    </row>
    <row r="57" customFormat="false" ht="15" hidden="false" customHeight="false" outlineLevel="0" collapsed="false">
      <c r="A57" s="11" t="s">
        <v>82</v>
      </c>
      <c r="B57" s="12"/>
      <c r="C57" s="11" t="s">
        <v>83</v>
      </c>
      <c r="D57" s="7"/>
      <c r="E57" s="7"/>
      <c r="F57" s="7"/>
      <c r="G57" s="13" t="s">
        <v>84</v>
      </c>
    </row>
    <row r="58" customFormat="false" ht="15" hidden="false" customHeight="false" outlineLevel="0" collapsed="false">
      <c r="A58" s="11" t="s">
        <v>85</v>
      </c>
      <c r="B58" s="12"/>
      <c r="C58" s="11" t="s">
        <v>27</v>
      </c>
      <c r="D58" s="7"/>
      <c r="E58" s="7"/>
      <c r="F58" s="7"/>
      <c r="G58" s="13" t="s">
        <v>86</v>
      </c>
    </row>
    <row r="59" customFormat="false" ht="15" hidden="false" customHeight="false" outlineLevel="0" collapsed="false">
      <c r="A59" s="11" t="s">
        <v>87</v>
      </c>
      <c r="B59" s="12"/>
      <c r="C59" s="11" t="s">
        <v>15</v>
      </c>
      <c r="D59" s="7"/>
      <c r="E59" s="7"/>
      <c r="F59" s="7"/>
      <c r="G59" s="13" t="s">
        <v>88</v>
      </c>
    </row>
    <row r="60" customFormat="false" ht="15" hidden="false" customHeight="false" outlineLevel="0" collapsed="false">
      <c r="A60" s="11" t="s">
        <v>89</v>
      </c>
      <c r="B60" s="12"/>
      <c r="C60" s="11" t="s">
        <v>15</v>
      </c>
      <c r="D60" s="7"/>
      <c r="E60" s="7"/>
      <c r="F60" s="7"/>
      <c r="G60" s="13" t="s">
        <v>90</v>
      </c>
    </row>
    <row r="61" customFormat="false" ht="15" hidden="false" customHeight="false" outlineLevel="0" collapsed="false">
      <c r="A61" s="11" t="s">
        <v>91</v>
      </c>
      <c r="B61" s="12"/>
      <c r="C61" s="11" t="s">
        <v>15</v>
      </c>
      <c r="D61" s="7"/>
      <c r="E61" s="7"/>
      <c r="F61" s="7"/>
      <c r="G61" s="13" t="s">
        <v>92</v>
      </c>
    </row>
    <row r="62" customFormat="false" ht="15" hidden="false" customHeight="false" outlineLevel="0" collapsed="false">
      <c r="A62" s="11" t="s">
        <v>93</v>
      </c>
      <c r="B62" s="12"/>
      <c r="C62" s="11" t="s">
        <v>94</v>
      </c>
      <c r="D62" s="7"/>
      <c r="E62" s="7"/>
      <c r="F62" s="7"/>
      <c r="G62" s="13" t="s">
        <v>95</v>
      </c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7"/>
    </row>
    <row r="64" customFormat="false" ht="15" hidden="false" customHeight="false" outlineLevel="0" collapsed="false">
      <c r="A64" s="8" t="s">
        <v>96</v>
      </c>
      <c r="B64" s="9"/>
      <c r="C64" s="9"/>
      <c r="D64" s="9"/>
      <c r="E64" s="9"/>
      <c r="F64" s="9"/>
      <c r="G64" s="9"/>
    </row>
    <row r="65" customFormat="false" ht="15" hidden="false" customHeight="false" outlineLevel="0" collapsed="false">
      <c r="A65" s="10" t="s">
        <v>7</v>
      </c>
      <c r="B65" s="10" t="s">
        <v>8</v>
      </c>
      <c r="C65" s="10" t="s">
        <v>9</v>
      </c>
      <c r="D65" s="10" t="s">
        <v>10</v>
      </c>
      <c r="E65" s="10" t="s">
        <v>11</v>
      </c>
      <c r="F65" s="10" t="s">
        <v>12</v>
      </c>
      <c r="G65" s="10" t="s">
        <v>13</v>
      </c>
    </row>
    <row r="66" customFormat="false" ht="15" hidden="false" customHeight="false" outlineLevel="0" collapsed="false">
      <c r="A66" s="11" t="s">
        <v>97</v>
      </c>
      <c r="B66" s="12"/>
      <c r="C66" s="11" t="s">
        <v>98</v>
      </c>
      <c r="D66" s="7"/>
      <c r="E66" s="7"/>
      <c r="F66" s="7"/>
      <c r="G66" s="13"/>
    </row>
    <row r="67" customFormat="false" ht="15" hidden="false" customHeight="false" outlineLevel="0" collapsed="false">
      <c r="A67" s="11" t="s">
        <v>99</v>
      </c>
      <c r="B67" s="12"/>
      <c r="C67" s="11" t="s">
        <v>98</v>
      </c>
      <c r="D67" s="7"/>
      <c r="E67" s="7"/>
      <c r="F67" s="7"/>
      <c r="G67" s="13"/>
    </row>
    <row r="68" customFormat="false" ht="15" hidden="false" customHeight="false" outlineLevel="0" collapsed="false">
      <c r="A68" s="11" t="s">
        <v>100</v>
      </c>
      <c r="B68" s="12" t="n">
        <v>0.05</v>
      </c>
      <c r="C68" s="11" t="s">
        <v>98</v>
      </c>
      <c r="D68" s="7"/>
      <c r="E68" s="7"/>
      <c r="F68" s="7"/>
      <c r="G68" s="13"/>
    </row>
    <row r="69" customFormat="false" ht="15" hidden="false" customHeight="false" outlineLevel="0" collapsed="false">
      <c r="A69" s="11" t="s">
        <v>101</v>
      </c>
      <c r="B69" s="12" t="n">
        <v>0.08</v>
      </c>
      <c r="C69" s="11" t="s">
        <v>98</v>
      </c>
      <c r="D69" s="7"/>
      <c r="E69" s="7"/>
      <c r="F69" s="7"/>
      <c r="G69" s="13"/>
    </row>
    <row r="70" customFormat="false" ht="15" hidden="false" customHeight="false" outlineLevel="0" collapsed="false">
      <c r="A70" s="11" t="s">
        <v>102</v>
      </c>
      <c r="B70" s="12" t="n">
        <v>0.25</v>
      </c>
      <c r="C70" s="11" t="s">
        <v>98</v>
      </c>
      <c r="D70" s="7"/>
      <c r="E70" s="7"/>
      <c r="F70" s="7"/>
      <c r="G70" s="13"/>
    </row>
    <row r="71" customFormat="false" ht="15" hidden="false" customHeight="false" outlineLevel="0" collapsed="false">
      <c r="A71" s="11" t="s">
        <v>103</v>
      </c>
      <c r="B71" s="12"/>
      <c r="C71" s="11" t="s">
        <v>104</v>
      </c>
      <c r="D71" s="7"/>
      <c r="E71" s="7"/>
      <c r="F71" s="7"/>
      <c r="G71" s="13" t="s">
        <v>105</v>
      </c>
    </row>
    <row r="72" customFormat="false" ht="15" hidden="false" customHeight="false" outlineLevel="0" collapsed="false">
      <c r="A72" s="7"/>
      <c r="B72" s="7"/>
      <c r="C72" s="7"/>
      <c r="D72" s="7"/>
      <c r="E72" s="7"/>
      <c r="F72" s="7"/>
      <c r="G72" s="7"/>
    </row>
    <row r="73" customFormat="false" ht="15" hidden="false" customHeight="false" outlineLevel="0" collapsed="false">
      <c r="A73" s="8" t="s">
        <v>106</v>
      </c>
      <c r="B73" s="9"/>
      <c r="C73" s="9"/>
      <c r="D73" s="9"/>
      <c r="E73" s="9"/>
      <c r="F73" s="9"/>
      <c r="G73" s="9"/>
    </row>
    <row r="74" customFormat="false" ht="15" hidden="false" customHeight="false" outlineLevel="0" collapsed="false">
      <c r="A74" s="10" t="s">
        <v>7</v>
      </c>
      <c r="B74" s="10" t="s">
        <v>8</v>
      </c>
      <c r="C74" s="10" t="s">
        <v>9</v>
      </c>
      <c r="D74" s="10" t="s">
        <v>10</v>
      </c>
      <c r="E74" s="10" t="s">
        <v>11</v>
      </c>
      <c r="F74" s="10" t="s">
        <v>12</v>
      </c>
      <c r="G74" s="10" t="s">
        <v>13</v>
      </c>
    </row>
    <row r="75" customFormat="false" ht="15" hidden="false" customHeight="false" outlineLevel="0" collapsed="false">
      <c r="A75" s="11" t="s">
        <v>107</v>
      </c>
      <c r="B75" s="12"/>
      <c r="C75" s="11" t="s">
        <v>48</v>
      </c>
      <c r="D75" s="7"/>
      <c r="E75" s="7"/>
      <c r="F75" s="7"/>
      <c r="G75" s="13" t="s">
        <v>108</v>
      </c>
    </row>
    <row r="76" customFormat="false" ht="15" hidden="false" customHeight="false" outlineLevel="0" collapsed="false">
      <c r="A76" s="11" t="s">
        <v>109</v>
      </c>
      <c r="B76" s="12"/>
      <c r="C76" s="11" t="s">
        <v>110</v>
      </c>
      <c r="D76" s="7"/>
      <c r="E76" s="7"/>
      <c r="F76" s="7"/>
      <c r="G76" s="13" t="s">
        <v>111</v>
      </c>
    </row>
    <row r="77" customFormat="false" ht="15" hidden="false" customHeight="false" outlineLevel="0" collapsed="false">
      <c r="A77" s="11" t="s">
        <v>112</v>
      </c>
      <c r="B77" s="12"/>
      <c r="C77" s="11" t="s">
        <v>110</v>
      </c>
      <c r="D77" s="7"/>
      <c r="E77" s="7"/>
      <c r="F77" s="7"/>
      <c r="G77" s="13"/>
    </row>
    <row r="78" customFormat="false" ht="15" hidden="false" customHeight="false" outlineLevel="0" collapsed="false">
      <c r="A78" s="11" t="s">
        <v>113</v>
      </c>
      <c r="B78" s="12"/>
      <c r="C78" s="11" t="s">
        <v>110</v>
      </c>
      <c r="D78" s="7"/>
      <c r="E78" s="7"/>
      <c r="F78" s="7"/>
      <c r="G78" s="13"/>
    </row>
    <row r="79" customFormat="false" ht="15" hidden="false" customHeight="false" outlineLevel="0" collapsed="false">
      <c r="A79" s="11" t="s">
        <v>114</v>
      </c>
      <c r="B79" s="12"/>
      <c r="C79" s="11" t="s">
        <v>48</v>
      </c>
      <c r="D79" s="7"/>
      <c r="E79" s="7"/>
      <c r="F79" s="7"/>
      <c r="G79" s="13" t="s">
        <v>115</v>
      </c>
    </row>
    <row r="80" customFormat="false" ht="15" hidden="false" customHeight="false" outlineLevel="0" collapsed="false">
      <c r="A80" s="11" t="s">
        <v>116</v>
      </c>
      <c r="B80" s="12"/>
      <c r="C80" s="11" t="s">
        <v>43</v>
      </c>
      <c r="D80" s="7"/>
      <c r="E80" s="7"/>
      <c r="F80" s="7"/>
      <c r="G80" s="13"/>
    </row>
    <row r="81" customFormat="false" ht="15" hidden="false" customHeight="false" outlineLevel="0" collapsed="false">
      <c r="A81" s="11" t="s">
        <v>117</v>
      </c>
      <c r="B81" s="12"/>
      <c r="C81" s="11" t="s">
        <v>118</v>
      </c>
      <c r="D81" s="7"/>
      <c r="E81" s="7"/>
      <c r="F81" s="7"/>
      <c r="G81" s="13" t="s">
        <v>119</v>
      </c>
    </row>
    <row r="82" customFormat="false" ht="15" hidden="false" customHeight="false" outlineLevel="0" collapsed="false">
      <c r="A82" s="7"/>
      <c r="B82" s="7"/>
      <c r="C82" s="7"/>
      <c r="D82" s="7"/>
      <c r="E82" s="7"/>
      <c r="F82" s="7"/>
      <c r="G82" s="7"/>
    </row>
    <row r="83" customFormat="false" ht="15" hidden="false" customHeight="false" outlineLevel="0" collapsed="false">
      <c r="A83" s="8" t="s">
        <v>120</v>
      </c>
      <c r="B83" s="9"/>
      <c r="C83" s="9"/>
      <c r="D83" s="9"/>
      <c r="E83" s="9"/>
      <c r="F83" s="9"/>
      <c r="G83" s="9"/>
    </row>
    <row r="84" customFormat="false" ht="15" hidden="false" customHeight="false" outlineLevel="0" collapsed="false">
      <c r="A84" s="10" t="s">
        <v>7</v>
      </c>
      <c r="B84" s="10" t="s">
        <v>8</v>
      </c>
      <c r="C84" s="10" t="s">
        <v>9</v>
      </c>
      <c r="D84" s="10" t="s">
        <v>10</v>
      </c>
      <c r="E84" s="10" t="s">
        <v>11</v>
      </c>
      <c r="F84" s="10" t="s">
        <v>12</v>
      </c>
      <c r="G84" s="10" t="s">
        <v>13</v>
      </c>
    </row>
    <row r="85" customFormat="false" ht="15" hidden="false" customHeight="false" outlineLevel="0" collapsed="false">
      <c r="A85" s="11" t="s">
        <v>121</v>
      </c>
      <c r="B85" s="12"/>
      <c r="C85" s="11" t="s">
        <v>122</v>
      </c>
      <c r="D85" s="7"/>
      <c r="E85" s="7"/>
      <c r="F85" s="7"/>
      <c r="G85" s="13"/>
    </row>
    <row r="86" customFormat="false" ht="15" hidden="false" customHeight="false" outlineLevel="0" collapsed="false">
      <c r="A86" s="11" t="s">
        <v>123</v>
      </c>
      <c r="B86" s="12"/>
      <c r="C86" s="11" t="s">
        <v>122</v>
      </c>
      <c r="D86" s="7"/>
      <c r="E86" s="7"/>
      <c r="F86" s="7"/>
      <c r="G86" s="13"/>
    </row>
    <row r="87" customFormat="false" ht="15" hidden="false" customHeight="false" outlineLevel="0" collapsed="false">
      <c r="A87" s="11" t="s">
        <v>124</v>
      </c>
      <c r="B87" s="12"/>
      <c r="C87" s="11" t="s">
        <v>125</v>
      </c>
      <c r="D87" s="7"/>
      <c r="E87" s="7"/>
      <c r="F87" s="7"/>
      <c r="G87" s="13" t="s">
        <v>126</v>
      </c>
    </row>
    <row r="88" customFormat="false" ht="15" hidden="false" customHeight="false" outlineLevel="0" collapsed="false">
      <c r="A88" s="11" t="s">
        <v>127</v>
      </c>
      <c r="B88" s="12"/>
      <c r="C88" s="11" t="s">
        <v>110</v>
      </c>
      <c r="D88" s="7"/>
      <c r="E88" s="7"/>
      <c r="F88" s="7"/>
      <c r="G88" s="13"/>
    </row>
    <row r="89" customFormat="false" ht="15" hidden="false" customHeight="false" outlineLevel="0" collapsed="false">
      <c r="A89" s="11" t="s">
        <v>128</v>
      </c>
      <c r="B89" s="12"/>
      <c r="C89" s="11" t="s">
        <v>129</v>
      </c>
      <c r="D89" s="7"/>
      <c r="E89" s="7"/>
      <c r="F89" s="7"/>
      <c r="G89" s="13"/>
    </row>
    <row r="90" customFormat="false" ht="15" hidden="false" customHeight="false" outlineLevel="0" collapsed="false">
      <c r="A90" s="11" t="s">
        <v>130</v>
      </c>
      <c r="B90" s="12"/>
      <c r="C90" s="11" t="s">
        <v>129</v>
      </c>
      <c r="D90" s="7"/>
      <c r="E90" s="7"/>
      <c r="F90" s="7"/>
      <c r="G90" s="13"/>
    </row>
    <row r="91" customFormat="false" ht="15" hidden="false" customHeight="false" outlineLevel="0" collapsed="false">
      <c r="A91" s="11" t="s">
        <v>131</v>
      </c>
      <c r="B91" s="12"/>
      <c r="C91" s="11" t="s">
        <v>129</v>
      </c>
      <c r="D91" s="7"/>
      <c r="E91" s="7"/>
      <c r="F91" s="7"/>
      <c r="G91" s="13"/>
    </row>
    <row r="92" customFormat="false" ht="15" hidden="false" customHeight="false" outlineLevel="0" collapsed="false">
      <c r="A92" s="11" t="s">
        <v>132</v>
      </c>
      <c r="B92" s="12"/>
      <c r="C92" s="11" t="s">
        <v>27</v>
      </c>
      <c r="D92" s="7"/>
      <c r="E92" s="7"/>
      <c r="F92" s="7"/>
      <c r="G92" s="13" t="s">
        <v>133</v>
      </c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</row>
    <row r="94" customFormat="false" ht="15" hidden="false" customHeight="false" outlineLevel="0" collapsed="false">
      <c r="A94" s="8" t="s">
        <v>134</v>
      </c>
      <c r="B94" s="9"/>
      <c r="C94" s="9"/>
      <c r="D94" s="9"/>
      <c r="E94" s="9"/>
      <c r="F94" s="9"/>
      <c r="G94" s="9"/>
    </row>
    <row r="95" customFormat="false" ht="15" hidden="false" customHeight="false" outlineLevel="0" collapsed="false">
      <c r="A95" s="10" t="s">
        <v>7</v>
      </c>
      <c r="B95" s="10" t="s">
        <v>8</v>
      </c>
      <c r="C95" s="10" t="s">
        <v>9</v>
      </c>
      <c r="D95" s="10" t="s">
        <v>10</v>
      </c>
      <c r="E95" s="10" t="s">
        <v>11</v>
      </c>
      <c r="F95" s="10" t="s">
        <v>12</v>
      </c>
      <c r="G95" s="10" t="s">
        <v>13</v>
      </c>
    </row>
    <row r="96" customFormat="false" ht="15" hidden="false" customHeight="false" outlineLevel="0" collapsed="false">
      <c r="A96" s="11" t="s">
        <v>135</v>
      </c>
      <c r="B96" s="12"/>
      <c r="C96" s="11" t="s">
        <v>43</v>
      </c>
      <c r="D96" s="7"/>
      <c r="E96" s="7"/>
      <c r="F96" s="7"/>
      <c r="G96" s="13"/>
    </row>
    <row r="97" customFormat="false" ht="15" hidden="false" customHeight="false" outlineLevel="0" collapsed="false">
      <c r="A97" s="11" t="s">
        <v>136</v>
      </c>
      <c r="B97" s="12"/>
      <c r="C97" s="11" t="s">
        <v>48</v>
      </c>
      <c r="D97" s="7"/>
      <c r="E97" s="7"/>
      <c r="F97" s="7"/>
      <c r="G97" s="13"/>
    </row>
    <row r="98" customFormat="false" ht="15" hidden="false" customHeight="false" outlineLevel="0" collapsed="false">
      <c r="A98" s="11" t="s">
        <v>137</v>
      </c>
      <c r="B98" s="12"/>
      <c r="C98" s="11" t="s">
        <v>48</v>
      </c>
      <c r="D98" s="7"/>
      <c r="E98" s="7"/>
      <c r="F98" s="7"/>
      <c r="G98" s="13"/>
    </row>
    <row r="99" customFormat="false" ht="15" hidden="false" customHeight="false" outlineLevel="0" collapsed="false">
      <c r="A99" s="11" t="s">
        <v>138</v>
      </c>
      <c r="B99" s="12"/>
      <c r="C99" s="11" t="s">
        <v>27</v>
      </c>
      <c r="D99" s="7"/>
      <c r="E99" s="7"/>
      <c r="F99" s="7"/>
      <c r="G99" s="13"/>
    </row>
    <row r="100" customFormat="false" ht="15" hidden="false" customHeight="false" outlineLevel="0" collapsed="false">
      <c r="A100" s="11" t="s">
        <v>139</v>
      </c>
      <c r="B100" s="12"/>
      <c r="C100" s="11" t="s">
        <v>27</v>
      </c>
      <c r="D100" s="7"/>
      <c r="E100" s="7"/>
      <c r="F100" s="7"/>
      <c r="G100" s="13"/>
    </row>
    <row r="101" customFormat="false" ht="15" hidden="false" customHeight="false" outlineLevel="0" collapsed="false">
      <c r="A101" s="11" t="s">
        <v>140</v>
      </c>
      <c r="B101" s="12"/>
      <c r="C101" s="11" t="s">
        <v>48</v>
      </c>
      <c r="D101" s="7"/>
      <c r="E101" s="7"/>
      <c r="F101" s="7"/>
      <c r="G101" s="13" t="s">
        <v>141</v>
      </c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</row>
    <row r="103" customFormat="false" ht="15" hidden="false" customHeight="false" outlineLevel="0" collapsed="false">
      <c r="A103" s="8" t="s">
        <v>142</v>
      </c>
      <c r="B103" s="9"/>
      <c r="C103" s="9"/>
      <c r="D103" s="9"/>
      <c r="E103" s="9"/>
      <c r="F103" s="9"/>
      <c r="G103" s="9"/>
    </row>
    <row r="104" customFormat="false" ht="15" hidden="false" customHeight="false" outlineLevel="0" collapsed="false">
      <c r="A104" s="10" t="s">
        <v>7</v>
      </c>
      <c r="B104" s="10" t="s">
        <v>8</v>
      </c>
      <c r="C104" s="10" t="s">
        <v>9</v>
      </c>
      <c r="D104" s="10" t="s">
        <v>10</v>
      </c>
      <c r="E104" s="10" t="s">
        <v>11</v>
      </c>
      <c r="F104" s="10" t="s">
        <v>12</v>
      </c>
      <c r="G104" s="10" t="s">
        <v>13</v>
      </c>
    </row>
    <row r="105" customFormat="false" ht="15" hidden="false" customHeight="false" outlineLevel="0" collapsed="false">
      <c r="A105" s="11" t="s">
        <v>143</v>
      </c>
      <c r="B105" s="12"/>
      <c r="C105" s="11" t="s">
        <v>15</v>
      </c>
      <c r="D105" s="7"/>
      <c r="E105" s="7"/>
      <c r="F105" s="7"/>
      <c r="G105" s="13"/>
    </row>
    <row r="106" customFormat="false" ht="15" hidden="false" customHeight="false" outlineLevel="0" collapsed="false">
      <c r="A106" s="11" t="s">
        <v>144</v>
      </c>
      <c r="B106" s="12"/>
      <c r="C106" s="11" t="s">
        <v>145</v>
      </c>
      <c r="D106" s="7"/>
      <c r="E106" s="7"/>
      <c r="F106" s="7"/>
      <c r="G106" s="13"/>
    </row>
    <row r="107" customFormat="false" ht="15" hidden="false" customHeight="false" outlineLevel="0" collapsed="false">
      <c r="A107" s="11" t="s">
        <v>146</v>
      </c>
      <c r="B107" s="12"/>
      <c r="C107" s="11" t="s">
        <v>145</v>
      </c>
      <c r="D107" s="7"/>
      <c r="E107" s="7"/>
      <c r="F107" s="7"/>
      <c r="G107" s="13"/>
    </row>
    <row r="108" customFormat="false" ht="15" hidden="false" customHeight="false" outlineLevel="0" collapsed="false">
      <c r="A108" s="11" t="s">
        <v>147</v>
      </c>
      <c r="B108" s="12"/>
      <c r="C108" s="11" t="s">
        <v>15</v>
      </c>
      <c r="D108" s="7"/>
      <c r="E108" s="7"/>
      <c r="F108" s="7"/>
      <c r="G108" s="13"/>
    </row>
    <row r="109" customFormat="false" ht="15" hidden="false" customHeight="false" outlineLevel="0" collapsed="false">
      <c r="A109" s="11" t="s">
        <v>148</v>
      </c>
      <c r="B109" s="12"/>
      <c r="C109" s="11" t="s">
        <v>149</v>
      </c>
      <c r="D109" s="7"/>
      <c r="E109" s="7"/>
      <c r="F109" s="7"/>
      <c r="G109" s="13"/>
    </row>
    <row r="110" customFormat="false" ht="15" hidden="false" customHeight="false" outlineLevel="0" collapsed="false">
      <c r="A110" s="11" t="s">
        <v>150</v>
      </c>
      <c r="B110" s="12"/>
      <c r="C110" s="11" t="s">
        <v>145</v>
      </c>
      <c r="D110" s="7"/>
      <c r="E110" s="7"/>
      <c r="F110" s="7"/>
      <c r="G110" s="13"/>
    </row>
    <row r="111" customFormat="false" ht="15" hidden="false" customHeight="false" outlineLevel="0" collapsed="false">
      <c r="A111" s="11" t="s">
        <v>151</v>
      </c>
      <c r="B111" s="12"/>
      <c r="C111" s="11" t="s">
        <v>145</v>
      </c>
      <c r="D111" s="7"/>
      <c r="E111" s="7"/>
      <c r="F111" s="7"/>
      <c r="G111" s="13"/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7"/>
      <c r="G112" s="7"/>
    </row>
    <row r="113" customFormat="false" ht="15" hidden="false" customHeight="false" outlineLevel="0" collapsed="false">
      <c r="A113" s="8" t="s">
        <v>152</v>
      </c>
      <c r="B113" s="9"/>
      <c r="C113" s="9"/>
      <c r="D113" s="9"/>
      <c r="E113" s="9"/>
      <c r="F113" s="9"/>
      <c r="G113" s="9"/>
    </row>
    <row r="114" customFormat="false" ht="15" hidden="false" customHeight="false" outlineLevel="0" collapsed="false">
      <c r="A114" s="10" t="s">
        <v>7</v>
      </c>
      <c r="B114" s="10" t="s">
        <v>8</v>
      </c>
      <c r="C114" s="10" t="s">
        <v>9</v>
      </c>
      <c r="D114" s="10" t="s">
        <v>10</v>
      </c>
      <c r="E114" s="10" t="s">
        <v>11</v>
      </c>
      <c r="F114" s="10" t="s">
        <v>12</v>
      </c>
      <c r="G114" s="10" t="s">
        <v>13</v>
      </c>
    </row>
    <row r="115" customFormat="false" ht="15" hidden="false" customHeight="false" outlineLevel="0" collapsed="false">
      <c r="A115" s="11" t="s">
        <v>153</v>
      </c>
      <c r="B115" s="12"/>
      <c r="C115" s="11" t="s">
        <v>19</v>
      </c>
      <c r="D115" s="7"/>
      <c r="E115" s="7"/>
      <c r="F115" s="7"/>
      <c r="G115" s="13"/>
    </row>
    <row r="116" customFormat="false" ht="15" hidden="false" customHeight="false" outlineLevel="0" collapsed="false">
      <c r="A116" s="11" t="s">
        <v>154</v>
      </c>
      <c r="B116" s="12"/>
      <c r="C116" s="11"/>
      <c r="D116" s="7"/>
      <c r="E116" s="7"/>
      <c r="F116" s="7"/>
      <c r="G116" s="13"/>
    </row>
    <row r="117" customFormat="false" ht="15" hidden="false" customHeight="false" outlineLevel="0" collapsed="false">
      <c r="A117" s="11" t="s">
        <v>155</v>
      </c>
      <c r="B117" s="12"/>
      <c r="C117" s="11" t="s">
        <v>15</v>
      </c>
      <c r="D117" s="7"/>
      <c r="E117" s="7"/>
      <c r="F117" s="7"/>
      <c r="G117" s="13"/>
    </row>
    <row r="118" customFormat="false" ht="15" hidden="false" customHeight="false" outlineLevel="0" collapsed="false">
      <c r="A118" s="11" t="s">
        <v>156</v>
      </c>
      <c r="B118" s="12"/>
      <c r="C118" s="11" t="s">
        <v>17</v>
      </c>
      <c r="D118" s="7"/>
      <c r="E118" s="7"/>
      <c r="F118" s="7"/>
      <c r="G118" s="13"/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7"/>
      <c r="G119" s="7"/>
    </row>
    <row r="120" customFormat="false" ht="15" hidden="false" customHeight="false" outlineLevel="0" collapsed="false">
      <c r="A120" s="8" t="s">
        <v>157</v>
      </c>
      <c r="B120" s="9"/>
      <c r="C120" s="9"/>
      <c r="D120" s="9"/>
      <c r="E120" s="9"/>
      <c r="F120" s="9"/>
      <c r="G120" s="9"/>
    </row>
    <row r="121" customFormat="false" ht="15" hidden="false" customHeight="false" outlineLevel="0" collapsed="false">
      <c r="A121" s="10" t="s">
        <v>7</v>
      </c>
      <c r="B121" s="10" t="s">
        <v>8</v>
      </c>
      <c r="C121" s="10" t="s">
        <v>9</v>
      </c>
      <c r="D121" s="10" t="s">
        <v>10</v>
      </c>
      <c r="E121" s="10" t="s">
        <v>11</v>
      </c>
      <c r="F121" s="10" t="s">
        <v>12</v>
      </c>
      <c r="G121" s="10" t="s">
        <v>13</v>
      </c>
    </row>
    <row r="122" customFormat="false" ht="15" hidden="false" customHeight="false" outlineLevel="0" collapsed="false">
      <c r="A122" s="11" t="s">
        <v>158</v>
      </c>
      <c r="B122" s="16" t="n">
        <f aca="false">IF(AND(ISNUMBER($B$8),ISNUMBER($B$9)),SQRT($B$8*$B$9/3600),"")</f>
        <v>2.08593171295494</v>
      </c>
      <c r="C122" s="11" t="s">
        <v>159</v>
      </c>
      <c r="D122" s="7"/>
      <c r="E122" s="7"/>
      <c r="F122" s="7"/>
      <c r="G122" s="13" t="s">
        <v>160</v>
      </c>
    </row>
    <row r="123" customFormat="false" ht="15" hidden="false" customHeight="false" outlineLevel="0" collapsed="false">
      <c r="A123" s="11" t="s">
        <v>161</v>
      </c>
      <c r="B123" s="17" t="n">
        <f aca="false">IF(AND(ISNUMBER($B$16),ISNUMBER($B$17)),IF(ISNUMBER($B$18),$B$18,($B$16+2*$B$17)/3),"")</f>
        <v>68.6666666666667</v>
      </c>
      <c r="C123" s="11" t="s">
        <v>27</v>
      </c>
      <c r="D123" s="14" t="n">
        <v>65</v>
      </c>
      <c r="E123" s="14" t="n">
        <v>105</v>
      </c>
      <c r="F123" s="15" t="str">
        <f aca="false">IF(NOT(ISNUMBER(B123)),"",IF(AND(ISNUMBER(D123),B123&lt;D123),"LOW",IF(AND(ISNUMBER(E123),B123&gt;E123),"HIGH","OK")))</f>
        <v>OK</v>
      </c>
      <c r="G123" s="13" t="s">
        <v>162</v>
      </c>
    </row>
    <row r="124" customFormat="false" ht="15" hidden="false" customHeight="false" outlineLevel="0" collapsed="false">
      <c r="A124" s="11" t="s">
        <v>163</v>
      </c>
      <c r="B124" s="17" t="n">
        <f aca="false">IF(AND(ISNUMBER($B$20),ISNUMBER($B$21)),IF(ISNUMBER($B$22),$B$22,($B$20+2*$B$21)/3),"")</f>
        <v>27.3333333333333</v>
      </c>
      <c r="C124" s="11" t="s">
        <v>27</v>
      </c>
      <c r="D124" s="14"/>
      <c r="E124" s="14" t="n">
        <v>20</v>
      </c>
      <c r="F124" s="15" t="str">
        <f aca="false">IF(NOT(ISNUMBER(B124)),"",IF(AND(ISNUMBER(D124),B124&lt;D124),"LOW",IF(AND(ISNUMBER(E124),B124&gt;E124),"HIGH","OK")))</f>
        <v>HIGH</v>
      </c>
      <c r="G124" s="13" t="s">
        <v>164</v>
      </c>
    </row>
    <row r="125" customFormat="false" ht="15" hidden="false" customHeight="false" outlineLevel="0" collapsed="false">
      <c r="A125" s="11" t="s">
        <v>165</v>
      </c>
      <c r="B125" s="17" t="n">
        <f aca="false">IF(AND(ISNUMBER($B$16),ISNUMBER($B$17)),$B$16-$B$17,"")</f>
        <v>44</v>
      </c>
      <c r="C125" s="11" t="s">
        <v>27</v>
      </c>
      <c r="D125" s="7"/>
      <c r="E125" s="7"/>
      <c r="F125" s="7"/>
      <c r="G125" s="13" t="s">
        <v>166</v>
      </c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7"/>
      <c r="G126" s="7"/>
    </row>
    <row r="127" customFormat="false" ht="15" hidden="false" customHeight="false" outlineLevel="0" collapsed="false">
      <c r="A127" s="8" t="s">
        <v>167</v>
      </c>
      <c r="B127" s="9"/>
      <c r="C127" s="9"/>
      <c r="D127" s="9"/>
      <c r="E127" s="9"/>
      <c r="F127" s="9"/>
      <c r="G127" s="9"/>
    </row>
    <row r="128" customFormat="false" ht="15" hidden="false" customHeight="false" outlineLevel="0" collapsed="false">
      <c r="A128" s="10" t="s">
        <v>7</v>
      </c>
      <c r="B128" s="10" t="s">
        <v>8</v>
      </c>
      <c r="C128" s="10" t="s">
        <v>9</v>
      </c>
      <c r="D128" s="10" t="s">
        <v>10</v>
      </c>
      <c r="E128" s="10" t="s">
        <v>11</v>
      </c>
      <c r="F128" s="10" t="s">
        <v>12</v>
      </c>
      <c r="G128" s="10" t="s">
        <v>13</v>
      </c>
    </row>
    <row r="129" customFormat="false" ht="15" hidden="false" customHeight="false" outlineLevel="0" collapsed="false">
      <c r="A129" s="11" t="s">
        <v>168</v>
      </c>
      <c r="B129" s="16" t="n">
        <f aca="false">IF(AND(ISNUMBER($B$28),ISNUMBER($B$122)),$B$28/$B$122,"")</f>
        <v>1.7258474846716</v>
      </c>
      <c r="C129" s="11" t="s">
        <v>169</v>
      </c>
      <c r="D129" s="14" t="n">
        <v>2.5</v>
      </c>
      <c r="E129" s="14" t="n">
        <v>4</v>
      </c>
      <c r="F129" s="15" t="str">
        <f aca="false">IF(NOT(ISNUMBER(B129)),"",IF(AND(ISNUMBER(D129),B129&lt;D129),"LOW",IF(AND(ISNUMBER(E129),B129&gt;E129),"HIGH","OK")))</f>
        <v>LOW</v>
      </c>
      <c r="G129" s="13" t="s">
        <v>170</v>
      </c>
    </row>
    <row r="130" customFormat="false" ht="15" hidden="false" customHeight="false" outlineLevel="0" collapsed="false">
      <c r="A130" s="11" t="s">
        <v>171</v>
      </c>
      <c r="B130" s="17" t="n">
        <f aca="false">IF(AND(ISNUMBER($B$28),ISNUMBER($B$12)),$B$28*1000/$B$12,"")</f>
        <v>34.6153846153846</v>
      </c>
      <c r="C130" s="11" t="s">
        <v>110</v>
      </c>
      <c r="D130" s="14" t="n">
        <v>60</v>
      </c>
      <c r="E130" s="14" t="n">
        <v>100</v>
      </c>
      <c r="F130" s="15" t="str">
        <f aca="false">IF(NOT(ISNUMBER(B130)),"",IF(AND(ISNUMBER(D130),B130&lt;D130),"LOW",IF(AND(ISNUMBER(E130),B130&gt;E130),"HIGH","OK")))</f>
        <v>LOW</v>
      </c>
      <c r="G130" s="13" t="s">
        <v>172</v>
      </c>
    </row>
    <row r="131" customFormat="false" ht="15" hidden="false" customHeight="false" outlineLevel="0" collapsed="false">
      <c r="A131" s="11" t="s">
        <v>173</v>
      </c>
      <c r="B131" s="17" t="n">
        <f aca="false">IF(AND(ISNUMBER($B$130),ISNUMBER($B$122)),$B$130/$B$122,"")</f>
        <v>16.5946873526116</v>
      </c>
      <c r="C131" s="11" t="s">
        <v>174</v>
      </c>
      <c r="D131" s="14" t="n">
        <v>33</v>
      </c>
      <c r="E131" s="14" t="n">
        <v>47</v>
      </c>
      <c r="F131" s="15" t="str">
        <f aca="false">IF(NOT(ISNUMBER(B131)),"",IF(AND(ISNUMBER(D131),B131&lt;D131),"LOW",IF(AND(ISNUMBER(E131),B131&gt;E131),"HIGH","OK")))</f>
        <v>LOW</v>
      </c>
      <c r="G131" s="13" t="s">
        <v>175</v>
      </c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7"/>
      <c r="G132" s="7"/>
    </row>
    <row r="133" customFormat="false" ht="15" hidden="false" customHeight="false" outlineLevel="0" collapsed="false">
      <c r="A133" s="8" t="s">
        <v>176</v>
      </c>
      <c r="B133" s="9"/>
      <c r="C133" s="9"/>
      <c r="D133" s="9"/>
      <c r="E133" s="9"/>
      <c r="F133" s="9"/>
      <c r="G133" s="9"/>
    </row>
    <row r="134" customFormat="false" ht="15" hidden="false" customHeight="false" outlineLevel="0" collapsed="false">
      <c r="A134" s="10" t="s">
        <v>7</v>
      </c>
      <c r="B134" s="10" t="s">
        <v>8</v>
      </c>
      <c r="C134" s="10" t="s">
        <v>9</v>
      </c>
      <c r="D134" s="10" t="s">
        <v>10</v>
      </c>
      <c r="E134" s="10" t="s">
        <v>11</v>
      </c>
      <c r="F134" s="10" t="s">
        <v>12</v>
      </c>
      <c r="G134" s="10" t="s">
        <v>13</v>
      </c>
    </row>
    <row r="135" customFormat="false" ht="15" hidden="false" customHeight="false" outlineLevel="0" collapsed="false">
      <c r="A135" s="11" t="s">
        <v>177</v>
      </c>
      <c r="B135" s="17" t="n">
        <f aca="false">IF(AND(ISNUMBER($B$123),ISNUMBER($B$19),ISNUMBER($B$28)),80*($B$123-$B$19)/$B$28,"")</f>
        <v>1237.03703703704</v>
      </c>
      <c r="C135" s="11" t="s">
        <v>178</v>
      </c>
      <c r="D135" s="14" t="n">
        <v>800</v>
      </c>
      <c r="E135" s="14" t="n">
        <v>1200</v>
      </c>
      <c r="F135" s="15" t="str">
        <f aca="false">IF(NOT(ISNUMBER(B135)),"",IF(AND(ISNUMBER(D135),B135&lt;D135),"LOW",IF(AND(ISNUMBER(E135),B135&gt;E135),"HIGH","OK")))</f>
        <v>HIGH</v>
      </c>
      <c r="G135" s="13" t="s">
        <v>179</v>
      </c>
    </row>
    <row r="136" customFormat="false" ht="15" hidden="false" customHeight="false" outlineLevel="0" collapsed="false">
      <c r="A136" s="11" t="s">
        <v>180</v>
      </c>
      <c r="B136" s="17" t="n">
        <f aca="false">IF(AND(ISNUMBER($B$123),ISNUMBER($B$19),ISNUMBER($B$129)),80*($B$123-$B$19)/$B$129,"")</f>
        <v>2580.37478565537</v>
      </c>
      <c r="C136" s="11" t="s">
        <v>181</v>
      </c>
      <c r="D136" s="14" t="n">
        <v>1970</v>
      </c>
      <c r="E136" s="14" t="n">
        <v>2390</v>
      </c>
      <c r="F136" s="15" t="str">
        <f aca="false">IF(NOT(ISNUMBER(B136)),"",IF(AND(ISNUMBER(D136),B136&lt;D136),"LOW",IF(AND(ISNUMBER(E136),B136&gt;E136),"HIGH","OK")))</f>
        <v>HIGH</v>
      </c>
      <c r="G136" s="13" t="s">
        <v>182</v>
      </c>
    </row>
    <row r="137" customFormat="false" ht="15" hidden="false" customHeight="false" outlineLevel="0" collapsed="false">
      <c r="A137" s="11" t="s">
        <v>183</v>
      </c>
      <c r="B137" s="18" t="n">
        <f aca="false">IF(AND(ISNUMBER($B$123),ISNUMBER($B$19),ISNUMBER($B$28)),($B$123-$B$19)/$B$28,"")</f>
        <v>15.462962962963</v>
      </c>
      <c r="C137" s="11" t="s">
        <v>184</v>
      </c>
      <c r="D137" s="14" t="n">
        <v>10</v>
      </c>
      <c r="E137" s="14" t="n">
        <v>15</v>
      </c>
      <c r="F137" s="15" t="str">
        <f aca="false">IF(NOT(ISNUMBER(B137)),"",IF(AND(ISNUMBER(D137),B137&lt;D137),"LOW",IF(AND(ISNUMBER(E137),B137&gt;E137),"HIGH","OK")))</f>
        <v>HIGH</v>
      </c>
      <c r="G137" s="13" t="s">
        <v>185</v>
      </c>
    </row>
    <row r="138" customFormat="false" ht="15" hidden="false" customHeight="false" outlineLevel="0" collapsed="false">
      <c r="A138" s="11" t="s">
        <v>186</v>
      </c>
      <c r="B138" s="17" t="n">
        <f aca="false">IF(AND(ISNUMBER($B$124),ISNUMBER($B$23),ISNUMBER($B$28)),80*($B$124-$B$23)/$B$28,"")</f>
        <v>229.62962962963</v>
      </c>
      <c r="C138" s="11" t="s">
        <v>178</v>
      </c>
      <c r="D138" s="14"/>
      <c r="E138" s="14" t="n">
        <v>160</v>
      </c>
      <c r="F138" s="15" t="str">
        <f aca="false">IF(NOT(ISNUMBER(B138)),"",IF(AND(ISNUMBER(D138),B138&lt;D138),"LOW",IF(AND(ISNUMBER(E138),B138&gt;E138),"HIGH","OK")))</f>
        <v>HIGH</v>
      </c>
      <c r="G138" s="13" t="s">
        <v>187</v>
      </c>
    </row>
    <row r="139" customFormat="false" ht="15" hidden="false" customHeight="false" outlineLevel="0" collapsed="false">
      <c r="A139" s="11" t="s">
        <v>188</v>
      </c>
      <c r="B139" s="16" t="n">
        <f aca="false">IF(AND(ISNUMBER($B$124),ISNUMBER($B$23),ISNUMBER($B$28)),($B$124-$B$23)/$B$28,"")</f>
        <v>2.87037037037037</v>
      </c>
      <c r="C139" s="11" t="s">
        <v>184</v>
      </c>
      <c r="D139" s="14"/>
      <c r="E139" s="14" t="n">
        <v>2</v>
      </c>
      <c r="F139" s="15" t="str">
        <f aca="false">IF(NOT(ISNUMBER(B139)),"",IF(AND(ISNUMBER(D139),B139&lt;D139),"LOW",IF(AND(ISNUMBER(E139),B139&gt;E139),"HIGH","OK")))</f>
        <v>HIGH</v>
      </c>
      <c r="G139" s="13" t="s">
        <v>189</v>
      </c>
    </row>
    <row r="140" customFormat="false" ht="15" hidden="false" customHeight="false" outlineLevel="0" collapsed="false">
      <c r="A140" s="11" t="s">
        <v>190</v>
      </c>
      <c r="B140" s="17" t="n">
        <f aca="false">IF(AND(ISNUMBER($B$124),ISNUMBER($B$23),ISNUMBER($B$129)),80*($B$124-$B$23)/$B$129,"")</f>
        <v>478.991726678541</v>
      </c>
      <c r="C140" s="11" t="s">
        <v>181</v>
      </c>
      <c r="D140" s="14" t="n">
        <v>255</v>
      </c>
      <c r="E140" s="14" t="n">
        <v>285</v>
      </c>
      <c r="F140" s="15" t="str">
        <f aca="false">IF(NOT(ISNUMBER(B140)),"",IF(AND(ISNUMBER(D140),B140&lt;D140),"LOW",IF(AND(ISNUMBER(E140),B140&gt;E140),"HIGH","OK")))</f>
        <v>HIGH</v>
      </c>
      <c r="G140" s="13" t="s">
        <v>191</v>
      </c>
    </row>
    <row r="141" customFormat="false" ht="15" hidden="false" customHeight="false" outlineLevel="0" collapsed="false">
      <c r="A141" s="11" t="s">
        <v>192</v>
      </c>
      <c r="B141" s="17" t="n">
        <f aca="false">IF(AND(ISNUMBER($B$124),ISNUMBER($B$23)),$B$124-$B$23,"")</f>
        <v>10.3333333333333</v>
      </c>
      <c r="C141" s="11" t="s">
        <v>27</v>
      </c>
      <c r="D141" s="14"/>
      <c r="E141" s="14" t="n">
        <v>12</v>
      </c>
      <c r="F141" s="15" t="str">
        <f aca="false">IF(NOT(ISNUMBER(B141)),"",IF(AND(ISNUMBER(D141),B141&lt;D141),"LOW",IF(AND(ISNUMBER(E141),B141&gt;E141),"HIGH","OK")))</f>
        <v>OK</v>
      </c>
      <c r="G141" s="13" t="s">
        <v>193</v>
      </c>
    </row>
    <row r="142" customFormat="false" ht="15" hidden="false" customHeight="false" outlineLevel="0" collapsed="false">
      <c r="A142" s="11" t="s">
        <v>194</v>
      </c>
      <c r="B142" s="17" t="n">
        <f aca="false">IF(AND(ISNUMBER($B$21),ISNUMBER($B$23)),$B$21-$B$23,"")</f>
        <v>3</v>
      </c>
      <c r="C142" s="11" t="s">
        <v>27</v>
      </c>
      <c r="D142" s="14"/>
      <c r="E142" s="14" t="n">
        <v>6.99</v>
      </c>
      <c r="F142" s="15" t="str">
        <f aca="false">IF(NOT(ISNUMBER(B142)),"",IF(AND(ISNUMBER(D142),B142&lt;D142),"LOW",IF(AND(ISNUMBER(E142),B142&gt;E142),"HIGH","OK")))</f>
        <v>OK</v>
      </c>
      <c r="G142" s="13" t="s">
        <v>195</v>
      </c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7"/>
      <c r="G143" s="7"/>
    </row>
    <row r="144" customFormat="false" ht="15" hidden="false" customHeight="false" outlineLevel="0" collapsed="false">
      <c r="A144" s="8" t="s">
        <v>196</v>
      </c>
      <c r="B144" s="9"/>
      <c r="C144" s="9"/>
      <c r="D144" s="9"/>
      <c r="E144" s="9"/>
      <c r="F144" s="9"/>
      <c r="G144" s="9"/>
    </row>
    <row r="145" customFormat="false" ht="15" hidden="false" customHeight="false" outlineLevel="0" collapsed="false">
      <c r="A145" s="10" t="s">
        <v>7</v>
      </c>
      <c r="B145" s="10" t="s">
        <v>8</v>
      </c>
      <c r="C145" s="10" t="s">
        <v>9</v>
      </c>
      <c r="D145" s="10" t="s">
        <v>10</v>
      </c>
      <c r="E145" s="10" t="s">
        <v>11</v>
      </c>
      <c r="F145" s="10" t="s">
        <v>12</v>
      </c>
      <c r="G145" s="10" t="s">
        <v>13</v>
      </c>
    </row>
    <row r="146" customFormat="false" ht="15" hidden="false" customHeight="false" outlineLevel="0" collapsed="false">
      <c r="A146" s="11" t="s">
        <v>197</v>
      </c>
      <c r="B146" s="16" t="n">
        <f aca="false">IF(AND(ISNUMBER($B$123),ISNUMBER($B$28)),$B$123*$B$28/451,"")</f>
        <v>0.548115299334812</v>
      </c>
      <c r="C146" s="11" t="s">
        <v>198</v>
      </c>
      <c r="D146" s="14" t="n">
        <v>0.6</v>
      </c>
      <c r="E146" s="14"/>
      <c r="F146" s="15" t="str">
        <f aca="false">IF(NOT(ISNUMBER(B146)),"",IF(AND(ISNUMBER(D146),B146&lt;D146),"LOW",IF(AND(ISNUMBER(E146),B146&gt;E146),"HIGH","OK")))</f>
        <v>LOW</v>
      </c>
      <c r="G146" s="13" t="s">
        <v>199</v>
      </c>
    </row>
    <row r="147" customFormat="false" ht="15" hidden="false" customHeight="false" outlineLevel="0" collapsed="false">
      <c r="A147" s="11" t="s">
        <v>200</v>
      </c>
      <c r="B147" s="16" t="n">
        <f aca="false">IF(AND(ISNUMBER($B$146),ISNUMBER($B$122)),$B$146/$B$122,"")</f>
        <v>0.262767614074168</v>
      </c>
      <c r="C147" s="11" t="s">
        <v>201</v>
      </c>
      <c r="D147" s="14" t="n">
        <v>0.5</v>
      </c>
      <c r="E147" s="14" t="n">
        <v>0.7</v>
      </c>
      <c r="F147" s="15" t="str">
        <f aca="false">IF(NOT(ISNUMBER(B147)),"",IF(AND(ISNUMBER(D147),B147&lt;D147),"LOW",IF(AND(ISNUMBER(E147),B147&gt;E147),"HIGH","OK")))</f>
        <v>LOW</v>
      </c>
      <c r="G147" s="13" t="s">
        <v>202</v>
      </c>
    </row>
    <row r="148" customFormat="false" ht="15" hidden="false" customHeight="false" outlineLevel="0" collapsed="false">
      <c r="A148" s="11" t="s">
        <v>203</v>
      </c>
      <c r="B148" s="18" t="n">
        <f aca="false">IF(AND(ISNUMBER($B$131),ISNUMBER($B$123),ISNUMBER($B$23)),$B$131*($B$123-$B$23)*0.0136,"")</f>
        <v>11.6605336464351</v>
      </c>
      <c r="C148" s="11" t="s">
        <v>204</v>
      </c>
      <c r="D148" s="14" t="n">
        <v>50</v>
      </c>
      <c r="E148" s="14" t="n">
        <v>62</v>
      </c>
      <c r="F148" s="15" t="str">
        <f aca="false">IF(NOT(ISNUMBER(B148)),"",IF(AND(ISNUMBER(D148),B148&lt;D148),"LOW",IF(AND(ISNUMBER(E148),B148&gt;E148),"HIGH","OK")))</f>
        <v>LOW</v>
      </c>
      <c r="G148" s="13" t="s">
        <v>205</v>
      </c>
    </row>
    <row r="149" customFormat="false" ht="15" hidden="false" customHeight="false" outlineLevel="0" collapsed="false">
      <c r="A149" s="11" t="s">
        <v>206</v>
      </c>
      <c r="B149" s="18" t="n">
        <f aca="false">IF(AND(ISNUMBER($B$131),ISNUMBER($B$124),ISNUMBER($B$19)),$B$131*($B$124-$B$19)*0.0136,"")</f>
        <v>3.23485772126908</v>
      </c>
      <c r="C149" s="11" t="s">
        <v>204</v>
      </c>
      <c r="D149" s="14" t="n">
        <v>5</v>
      </c>
      <c r="E149" s="14" t="n">
        <v>10</v>
      </c>
      <c r="F149" s="15" t="str">
        <f aca="false">IF(NOT(ISNUMBER(B149)),"",IF(AND(ISNUMBER(D149),B149&lt;D149),"LOW",IF(AND(ISNUMBER(E149),B149&gt;E149),"HIGH","OK")))</f>
        <v>LOW</v>
      </c>
      <c r="G149" s="13" t="s">
        <v>207</v>
      </c>
    </row>
    <row r="150" customFormat="false" ht="15" hidden="false" customHeight="false" outlineLevel="0" collapsed="false">
      <c r="A150" s="11" t="s">
        <v>208</v>
      </c>
      <c r="B150" s="17" t="n">
        <f aca="false">IF(AND(ISNUMBER($B$131),ISNUMBER($B$124),ISNUMBER($B$19)),$B$131*($B$124-$B$19),"")</f>
        <v>237.857185387432</v>
      </c>
      <c r="C150" s="11" t="s">
        <v>209</v>
      </c>
      <c r="D150" s="14" t="n">
        <v>300</v>
      </c>
      <c r="E150" s="14"/>
      <c r="F150" s="15" t="str">
        <f aca="false">IF(NOT(ISNUMBER(B150)),"",IF(AND(ISNUMBER(D150),B150&lt;D150),"LOW",IF(AND(ISNUMBER(E150),B150&gt;E150),"HIGH","OK")))</f>
        <v>LOW</v>
      </c>
      <c r="G150" s="13" t="s">
        <v>210</v>
      </c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7"/>
      <c r="G151" s="7"/>
    </row>
    <row r="152" customFormat="false" ht="15" hidden="false" customHeight="false" outlineLevel="0" collapsed="false">
      <c r="A152" s="8" t="s">
        <v>211</v>
      </c>
      <c r="B152" s="9"/>
      <c r="C152" s="9"/>
      <c r="D152" s="9"/>
      <c r="E152" s="9"/>
      <c r="F152" s="9"/>
      <c r="G152" s="9"/>
    </row>
    <row r="153" customFormat="false" ht="15" hidden="false" customHeight="false" outlineLevel="0" collapsed="false">
      <c r="A153" s="10" t="s">
        <v>7</v>
      </c>
      <c r="B153" s="10" t="s">
        <v>8</v>
      </c>
      <c r="C153" s="10" t="s">
        <v>9</v>
      </c>
      <c r="D153" s="10" t="s">
        <v>10</v>
      </c>
      <c r="E153" s="10" t="s">
        <v>11</v>
      </c>
      <c r="F153" s="10" t="s">
        <v>12</v>
      </c>
      <c r="G153" s="10" t="s">
        <v>13</v>
      </c>
    </row>
    <row r="154" customFormat="false" ht="15" hidden="false" customHeight="false" outlineLevel="0" collapsed="false">
      <c r="A154" s="11" t="s">
        <v>212</v>
      </c>
      <c r="B154" s="16" t="n">
        <f aca="false">IF(AND(ISNUMBER($B$20),ISNUMBER($B$21),ISNUMBER($B$19)),IF($B$19&lt;=0,"",($B$20-$B$21)/$B$19),"")</f>
        <v>1.69230769230769</v>
      </c>
      <c r="C154" s="11"/>
      <c r="D154" s="14" t="n">
        <v>0.9</v>
      </c>
      <c r="E154" s="14"/>
      <c r="F154" s="15" t="str">
        <f aca="false">IF(NOT(ISNUMBER(B154)),"",IF(AND(ISNUMBER(D154),B154&lt;D154),"LOW",IF(AND(ISNUMBER(E154),B154&gt;E154),"HIGH","OK")))</f>
        <v>OK</v>
      </c>
      <c r="G154" s="13" t="s">
        <v>213</v>
      </c>
    </row>
    <row r="155" customFormat="false" ht="15" hidden="false" customHeight="false" outlineLevel="0" collapsed="false">
      <c r="A155" s="11" t="s">
        <v>214</v>
      </c>
      <c r="B155" s="16" t="n">
        <f aca="false">IF(AND(ISNUMBER($B$19),ISNUMBER($B$23)),IF($B$23&lt;=0,"",$B$19/$B$23),"")</f>
        <v>0.764705882352941</v>
      </c>
      <c r="C155" s="11"/>
      <c r="D155" s="14"/>
      <c r="E155" s="14" t="n">
        <v>0.63</v>
      </c>
      <c r="F155" s="15" t="str">
        <f aca="false">IF(NOT(ISNUMBER(B155)),"",IF(AND(ISNUMBER(D155),B155&lt;D155),"LOW",IF(AND(ISNUMBER(E155),B155&gt;E155),"HIGH","OK")))</f>
        <v>HIGH</v>
      </c>
      <c r="G155" s="13" t="s">
        <v>215</v>
      </c>
    </row>
    <row r="156" customFormat="false" ht="15" hidden="false" customHeight="false" outlineLevel="0" collapsed="false">
      <c r="A156" s="11" t="s">
        <v>216</v>
      </c>
      <c r="B156" s="17" t="str">
        <f aca="false">IF(AND(ISNUMBER($B$62),ISNUMBER($B$19)),4*$B$62^2+$B$19,"")</f>
        <v/>
      </c>
      <c r="C156" s="11" t="s">
        <v>27</v>
      </c>
      <c r="D156" s="14"/>
      <c r="E156" s="14" t="n">
        <v>35</v>
      </c>
      <c r="F156" s="15" t="str">
        <f aca="false">IF(NOT(ISNUMBER(B156)),"",IF(AND(ISNUMBER(D156),B156&lt;D156),"LOW",IF(AND(ISNUMBER(E156),B156&gt;E156),"HIGH","OK")))</f>
        <v/>
      </c>
      <c r="G156" s="13" t="s">
        <v>217</v>
      </c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7"/>
      <c r="G157" s="7"/>
    </row>
    <row r="158" customFormat="false" ht="15" hidden="false" customHeight="false" outlineLevel="0" collapsed="false">
      <c r="A158" s="8" t="s">
        <v>218</v>
      </c>
      <c r="B158" s="9"/>
      <c r="C158" s="9"/>
      <c r="D158" s="9"/>
      <c r="E158" s="9"/>
      <c r="F158" s="9"/>
      <c r="G158" s="9"/>
    </row>
    <row r="159" customFormat="false" ht="15" hidden="false" customHeight="false" outlineLevel="0" collapsed="false">
      <c r="A159" s="10" t="s">
        <v>7</v>
      </c>
      <c r="B159" s="10" t="s">
        <v>8</v>
      </c>
      <c r="C159" s="10" t="s">
        <v>9</v>
      </c>
      <c r="D159" s="10" t="s">
        <v>10</v>
      </c>
      <c r="E159" s="10" t="s">
        <v>11</v>
      </c>
      <c r="F159" s="10" t="s">
        <v>12</v>
      </c>
      <c r="G159" s="10" t="s">
        <v>13</v>
      </c>
    </row>
    <row r="160" customFormat="false" ht="15" hidden="false" customHeight="false" outlineLevel="0" collapsed="false">
      <c r="A160" s="11" t="s">
        <v>219</v>
      </c>
      <c r="B160" s="18" t="n">
        <f aca="false">IF(AND(ISNUMBER($B$29),ISNUMBER($B$30),ISNUMBER($B$33)),1.34*$B$29*$B$30/100+0.003*$B$33,"")</f>
        <v>12.54812</v>
      </c>
      <c r="C160" s="11" t="s">
        <v>220</v>
      </c>
      <c r="D160" s="14" t="n">
        <v>17</v>
      </c>
      <c r="E160" s="14" t="n">
        <v>20</v>
      </c>
      <c r="F160" s="15" t="str">
        <f aca="false">IF(NOT(ISNUMBER(B160)),"",IF(AND(ISNUMBER(D160),B160&lt;D160),"LOW",IF(AND(ISNUMBER(E160),B160&gt;E160),"HIGH","OK")))</f>
        <v>LOW</v>
      </c>
      <c r="G160" s="13" t="s">
        <v>221</v>
      </c>
    </row>
    <row r="161" customFormat="false" ht="15" hidden="false" customHeight="false" outlineLevel="0" collapsed="false">
      <c r="A161" s="11" t="s">
        <v>222</v>
      </c>
      <c r="B161" s="18" t="n">
        <f aca="false">IF(AND(ISNUMBER($B$29),ISNUMBER($B$31),ISNUMBER($B$34)),1.34*$B$29*$B$31/100+0.003*$B$34,"")</f>
        <v>7.14676</v>
      </c>
      <c r="C161" s="11" t="s">
        <v>220</v>
      </c>
      <c r="D161" s="14" t="n">
        <v>12</v>
      </c>
      <c r="E161" s="14" t="n">
        <v>15</v>
      </c>
      <c r="F161" s="15" t="str">
        <f aca="false">IF(NOT(ISNUMBER(B161)),"",IF(AND(ISNUMBER(D161),B161&lt;D161),"LOW",IF(AND(ISNUMBER(E161),B161&gt;E161),"HIGH","OK")))</f>
        <v>LOW</v>
      </c>
      <c r="G161" s="13" t="s">
        <v>223</v>
      </c>
    </row>
    <row r="162" customFormat="false" ht="15" hidden="false" customHeight="false" outlineLevel="0" collapsed="false">
      <c r="A162" s="11" t="s">
        <v>224</v>
      </c>
      <c r="B162" s="18" t="n">
        <f aca="false">IF(AND(ISNUMBER($B$160),ISNUMBER($B$161)),$B$160-$B$161,"")</f>
        <v>5.40136</v>
      </c>
      <c r="C162" s="11" t="s">
        <v>220</v>
      </c>
      <c r="D162" s="14" t="n">
        <v>3.5</v>
      </c>
      <c r="E162" s="14" t="n">
        <v>5.5</v>
      </c>
      <c r="F162" s="15" t="str">
        <f aca="false">IF(NOT(ISNUMBER(B162)),"",IF(AND(ISNUMBER(D162),B162&lt;D162),"LOW",IF(AND(ISNUMBER(E162),B162&gt;E162),"HIGH","OK")))</f>
        <v>OK</v>
      </c>
      <c r="G162" s="13" t="s">
        <v>225</v>
      </c>
    </row>
    <row r="163" customFormat="false" ht="15" hidden="false" customHeight="false" outlineLevel="0" collapsed="false">
      <c r="A163" s="11" t="s">
        <v>226</v>
      </c>
      <c r="B163" s="17" t="n">
        <f aca="false">IF(AND(ISNUMBER($B$28),ISNUMBER($B$160)),$B$28*$B$160*10,"")</f>
        <v>451.73232</v>
      </c>
      <c r="C163" s="11" t="s">
        <v>64</v>
      </c>
      <c r="D163" s="14" t="n">
        <v>900</v>
      </c>
      <c r="E163" s="14" t="n">
        <v>1100</v>
      </c>
      <c r="F163" s="15" t="str">
        <f aca="false">IF(NOT(ISNUMBER(B163)),"",IF(AND(ISNUMBER(D163),B163&lt;D163),"LOW",IF(AND(ISNUMBER(E163),B163&gt;E163),"HIGH","OK")))</f>
        <v>LOW</v>
      </c>
      <c r="G163" s="13" t="s">
        <v>227</v>
      </c>
    </row>
    <row r="164" customFormat="false" ht="15" hidden="false" customHeight="false" outlineLevel="0" collapsed="false">
      <c r="A164" s="11" t="s">
        <v>228</v>
      </c>
      <c r="B164" s="17" t="n">
        <f aca="false">IF(AND(ISNUMBER($B$129),ISNUMBER($B$160)),$B$129*$B$160*10,"")</f>
        <v>216.561413393574</v>
      </c>
      <c r="C164" s="11" t="s">
        <v>229</v>
      </c>
      <c r="D164" s="14" t="n">
        <v>500</v>
      </c>
      <c r="E164" s="14" t="n">
        <v>600</v>
      </c>
      <c r="F164" s="15" t="str">
        <f aca="false">IF(NOT(ISNUMBER(B164)),"",IF(AND(ISNUMBER(D164),B164&lt;D164),"LOW",IF(AND(ISNUMBER(E164),B164&gt;E164),"HIGH","OK")))</f>
        <v>LOW</v>
      </c>
      <c r="G164" s="13" t="s">
        <v>230</v>
      </c>
    </row>
    <row r="165" customFormat="false" ht="15" hidden="false" customHeight="false" outlineLevel="0" collapsed="false">
      <c r="A165" s="11" t="s">
        <v>231</v>
      </c>
      <c r="B165" s="17" t="n">
        <f aca="false">IF(AND(ISNUMBER($B$28),ISNUMBER($B$162)),$B$28*$B$162*10,"")</f>
        <v>194.44896</v>
      </c>
      <c r="C165" s="11" t="s">
        <v>64</v>
      </c>
      <c r="D165" s="14" t="n">
        <v>200</v>
      </c>
      <c r="E165" s="14" t="n">
        <v>250</v>
      </c>
      <c r="F165" s="15" t="str">
        <f aca="false">IF(NOT(ISNUMBER(B165)),"",IF(AND(ISNUMBER(D165),B165&lt;D165),"LOW",IF(AND(ISNUMBER(E165),B165&gt;E165),"HIGH","OK")))</f>
        <v>LOW</v>
      </c>
      <c r="G165" s="13" t="s">
        <v>232</v>
      </c>
    </row>
    <row r="166" customFormat="false" ht="15" hidden="false" customHeight="false" outlineLevel="0" collapsed="false">
      <c r="A166" s="11" t="s">
        <v>233</v>
      </c>
      <c r="B166" s="17" t="n">
        <f aca="false">IF(AND(ISNUMBER($B$129),ISNUMBER($B$162)),$B$129*$B$162*10,"")</f>
        <v>93.219235698058</v>
      </c>
      <c r="C166" s="11" t="s">
        <v>229</v>
      </c>
      <c r="D166" s="14" t="n">
        <v>110</v>
      </c>
      <c r="E166" s="14" t="n">
        <v>160</v>
      </c>
      <c r="F166" s="15" t="str">
        <f aca="false">IF(NOT(ISNUMBER(B166)),"",IF(AND(ISNUMBER(D166),B166&lt;D166),"LOW",IF(AND(ISNUMBER(E166),B166&gt;E166),"HIGH","OK")))</f>
        <v>LOW</v>
      </c>
      <c r="G166" s="13" t="s">
        <v>234</v>
      </c>
    </row>
    <row r="167" customFormat="false" ht="15" hidden="false" customHeight="false" outlineLevel="0" collapsed="false">
      <c r="A167" s="11" t="s">
        <v>235</v>
      </c>
      <c r="B167" s="16" t="n">
        <f aca="false">IF(AND(ISNUMBER($B$165),ISNUMBER($B$163)),$B$165/$B$163,"")</f>
        <v>0.43045173300861</v>
      </c>
      <c r="C167" s="11" t="s">
        <v>236</v>
      </c>
      <c r="D167" s="14" t="n">
        <v>0.22</v>
      </c>
      <c r="E167" s="14" t="n">
        <v>0.3</v>
      </c>
      <c r="F167" s="15" t="str">
        <f aca="false">IF(NOT(ISNUMBER(B167)),"",IF(AND(ISNUMBER(D167),B167&lt;D167),"LOW",IF(AND(ISNUMBER(E167),B167&gt;E167),"HIGH","OK")))</f>
        <v>HIGH</v>
      </c>
      <c r="G167" s="13" t="s">
        <v>237</v>
      </c>
    </row>
    <row r="168" customFormat="false" ht="15" hidden="false" customHeight="false" outlineLevel="0" collapsed="false">
      <c r="A168" s="11" t="s">
        <v>238</v>
      </c>
      <c r="B168" s="16" t="n">
        <f aca="false">IF(AND(ISNUMBER($B$30),ISNUMBER($B$31)),($B$30-$B$31)/$B$30,"")</f>
        <v>0.422680412371134</v>
      </c>
      <c r="C168" s="11" t="s">
        <v>236</v>
      </c>
      <c r="D168" s="14" t="n">
        <v>0.22</v>
      </c>
      <c r="E168" s="14" t="n">
        <v>0.3</v>
      </c>
      <c r="F168" s="15" t="str">
        <f aca="false">IF(NOT(ISNUMBER(B168)),"",IF(AND(ISNUMBER(D168),B168&lt;D168),"LOW",IF(AND(ISNUMBER(E168),B168&gt;E168),"HIGH","OK")))</f>
        <v>HIGH</v>
      </c>
      <c r="G168" s="13" t="s">
        <v>239</v>
      </c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7"/>
      <c r="G169" s="7"/>
    </row>
    <row r="170" customFormat="false" ht="15" hidden="false" customHeight="false" outlineLevel="0" collapsed="false">
      <c r="A170" s="8" t="s">
        <v>240</v>
      </c>
      <c r="B170" s="9"/>
      <c r="C170" s="9"/>
      <c r="D170" s="9"/>
      <c r="E170" s="9"/>
      <c r="F170" s="9"/>
      <c r="G170" s="9"/>
    </row>
    <row r="171" customFormat="false" ht="15" hidden="false" customHeight="false" outlineLevel="0" collapsed="false">
      <c r="A171" s="10" t="s">
        <v>7</v>
      </c>
      <c r="B171" s="10" t="s">
        <v>8</v>
      </c>
      <c r="C171" s="10" t="s">
        <v>9</v>
      </c>
      <c r="D171" s="10" t="s">
        <v>10</v>
      </c>
      <c r="E171" s="10" t="s">
        <v>11</v>
      </c>
      <c r="F171" s="10" t="s">
        <v>12</v>
      </c>
      <c r="G171" s="10" t="s">
        <v>13</v>
      </c>
    </row>
    <row r="172" customFormat="false" ht="15" hidden="false" customHeight="false" outlineLevel="0" collapsed="false">
      <c r="A172" s="11" t="s">
        <v>241</v>
      </c>
      <c r="B172" s="17" t="n">
        <f aca="false">IF(AND(ISNUMBER($B$122)),125*$B$122,"")</f>
        <v>260.741464119367</v>
      </c>
      <c r="C172" s="11" t="s">
        <v>64</v>
      </c>
      <c r="D172" s="7"/>
      <c r="E172" s="7"/>
      <c r="F172" s="7"/>
      <c r="G172" s="13" t="s">
        <v>242</v>
      </c>
    </row>
    <row r="173" customFormat="false" ht="15" hidden="false" customHeight="false" outlineLevel="0" collapsed="false">
      <c r="A173" s="11" t="s">
        <v>243</v>
      </c>
      <c r="B173" s="17" t="n">
        <f aca="false">IF(AND(ISNUMBER($B$9)),3*$B$9,"")</f>
        <v>264</v>
      </c>
      <c r="C173" s="11" t="s">
        <v>64</v>
      </c>
      <c r="D173" s="7"/>
      <c r="E173" s="7"/>
      <c r="F173" s="7"/>
      <c r="G173" s="13" t="s">
        <v>244</v>
      </c>
    </row>
    <row r="174" customFormat="false" ht="15" hidden="false" customHeight="false" outlineLevel="0" collapsed="false">
      <c r="A174" s="11" t="s">
        <v>245</v>
      </c>
      <c r="B174" s="17" t="n">
        <f aca="false">IF(AND(ISNUMBER($B$10),ISNUMBER($B$12)),IF(UPPER($B$11)="F",138.1-17.04*LN($B$10)+0.378*$B$12,138.1-11.49*LN($B$10)+0.378*$B$12),"")</f>
        <v>129.626433372197</v>
      </c>
      <c r="C174" s="11" t="s">
        <v>229</v>
      </c>
      <c r="D174" s="7"/>
      <c r="E174" s="7"/>
      <c r="F174" s="7"/>
      <c r="G174" s="13" t="s">
        <v>246</v>
      </c>
    </row>
    <row r="175" customFormat="false" ht="15" hidden="false" customHeight="false" outlineLevel="0" collapsed="false">
      <c r="A175" s="11" t="s">
        <v>247</v>
      </c>
      <c r="B175" s="17" t="n">
        <f aca="false">IF(AND(ISNUMBER($B$174),ISNUMBER($B$122)),$B$174*$B$122,"")</f>
        <v>270.391888208306</v>
      </c>
      <c r="C175" s="11" t="s">
        <v>64</v>
      </c>
      <c r="D175" s="7"/>
      <c r="E175" s="7"/>
      <c r="F175" s="7"/>
      <c r="G175" s="13" t="s">
        <v>248</v>
      </c>
    </row>
    <row r="176" customFormat="false" ht="15" hidden="false" customHeight="false" outlineLevel="0" collapsed="false">
      <c r="A176" s="11" t="s">
        <v>249</v>
      </c>
      <c r="B176" s="16" t="n">
        <f aca="false">IF(AND(ISNUMBER($B$172),ISNUMBER($B$162)),$B$172/($B$162*10),"")</f>
        <v>4.82732985987542</v>
      </c>
      <c r="C176" s="11" t="s">
        <v>43</v>
      </c>
      <c r="D176" s="14" t="n">
        <v>4</v>
      </c>
      <c r="E176" s="14" t="n">
        <v>8</v>
      </c>
      <c r="F176" s="15" t="str">
        <f aca="false">IF(NOT(ISNUMBER(B176)),"",IF(AND(ISNUMBER(D176),B176&lt;D176),"LOW",IF(AND(ISNUMBER(E176),B176&gt;E176),"HIGH","OK")))</f>
        <v>OK</v>
      </c>
      <c r="G176" s="13" t="s">
        <v>250</v>
      </c>
    </row>
    <row r="177" customFormat="false" ht="15" hidden="false" customHeight="false" outlineLevel="0" collapsed="false">
      <c r="A177" s="11" t="s">
        <v>251</v>
      </c>
      <c r="B177" s="16" t="n">
        <f aca="false">IF(AND(ISNUMBER($B$172),ISNUMBER($B$29),ISNUMBER($B$30),ISNUMBER($B$31)),$B$172/(13.4*$B$29*($B$30-$B$31)/100),"")</f>
        <v>5.04886305601017</v>
      </c>
      <c r="C177" s="11" t="s">
        <v>43</v>
      </c>
      <c r="D177" s="14" t="n">
        <v>4</v>
      </c>
      <c r="E177" s="14" t="n">
        <v>8</v>
      </c>
      <c r="F177" s="15" t="str">
        <f aca="false">IF(NOT(ISNUMBER(B177)),"",IF(AND(ISNUMBER(D177),B177&lt;D177),"LOW",IF(AND(ISNUMBER(E177),B177&gt;E177),"HIGH","OK")))</f>
        <v>OK</v>
      </c>
      <c r="G177" s="13" t="s">
        <v>252</v>
      </c>
    </row>
    <row r="178" customFormat="false" ht="15" hidden="false" customHeight="false" outlineLevel="0" collapsed="false">
      <c r="A178" s="11" t="s">
        <v>253</v>
      </c>
      <c r="B178" s="16" t="n">
        <f aca="false">IF(AND(ISNUMBER($B$175),ISNUMBER($B$29),ISNUMBER($B$30),ISNUMBER($B$31)),$B$175/(13.4*$B$29*($B$30-$B$31)/100),"")</f>
        <v>5.23572888428201</v>
      </c>
      <c r="C178" s="11" t="s">
        <v>43</v>
      </c>
      <c r="D178" s="14" t="n">
        <v>4</v>
      </c>
      <c r="E178" s="14" t="n">
        <v>8</v>
      </c>
      <c r="F178" s="15" t="str">
        <f aca="false">IF(NOT(ISNUMBER(B178)),"",IF(AND(ISNUMBER(D178),B178&lt;D178),"LOW",IF(AND(ISNUMBER(E178),B178&gt;E178),"HIGH","OK")))</f>
        <v>OK</v>
      </c>
      <c r="G178" s="13" t="s">
        <v>254</v>
      </c>
    </row>
    <row r="179" customFormat="false" ht="15" hidden="false" customHeight="false" outlineLevel="0" collapsed="false">
      <c r="A179" s="11" t="s">
        <v>255</v>
      </c>
      <c r="B179" s="16" t="str">
        <f aca="false">IF(AND(ISNUMBER($B$40),ISNUMBER($B$162)),$B$40/($B$162*10),"")</f>
        <v/>
      </c>
      <c r="C179" s="11" t="s">
        <v>43</v>
      </c>
      <c r="D179" s="14" t="n">
        <v>4</v>
      </c>
      <c r="E179" s="14" t="n">
        <v>8</v>
      </c>
      <c r="F179" s="15" t="str">
        <f aca="false">IF(NOT(ISNUMBER(B179)),"",IF(AND(ISNUMBER(D179),B179&lt;D179),"LOW",IF(AND(ISNUMBER(E179),B179&gt;E179),"HIGH","OK")))</f>
        <v/>
      </c>
      <c r="G179" s="13" t="s">
        <v>256</v>
      </c>
    </row>
    <row r="180" customFormat="false" ht="15" hidden="false" customHeight="false" outlineLevel="0" collapsed="false">
      <c r="A180" s="11" t="s">
        <v>257</v>
      </c>
      <c r="B180" s="16" t="n">
        <f aca="false">IF(AND(ISNUMBER($B$177),ISNUMBER($B$122)),$B$177/$B$122,"")</f>
        <v>2.42043544601848</v>
      </c>
      <c r="C180" s="11" t="s">
        <v>169</v>
      </c>
      <c r="D180" s="14" t="n">
        <v>2.5</v>
      </c>
      <c r="E180" s="14" t="n">
        <v>4</v>
      </c>
      <c r="F180" s="15" t="str">
        <f aca="false">IF(NOT(ISNUMBER(B180)),"",IF(AND(ISNUMBER(D180),B180&lt;D180),"LOW",IF(AND(ISNUMBER(E180),B180&gt;E180),"HIGH","OK")))</f>
        <v>LOW</v>
      </c>
      <c r="G180" s="13" t="s">
        <v>258</v>
      </c>
    </row>
    <row r="181" customFormat="false" ht="15" hidden="false" customHeight="false" outlineLevel="0" collapsed="false">
      <c r="A181" s="11" t="s">
        <v>259</v>
      </c>
      <c r="B181" s="19" t="n">
        <f aca="false">IF(AND(ISNUMBER($B$28),ISNUMBER($B$177)),($B$28-$B$177)/$B$177,"")</f>
        <v>-0.286968182724909</v>
      </c>
      <c r="C181" s="11" t="s">
        <v>48</v>
      </c>
      <c r="D181" s="14" t="n">
        <v>-0.2</v>
      </c>
      <c r="E181" s="14" t="n">
        <v>0.2</v>
      </c>
      <c r="F181" s="15" t="str">
        <f aca="false">IF(NOT(ISNUMBER(B181)),"",IF(AND(ISNUMBER(D181),B181&lt;D181),"LOW",IF(AND(ISNUMBER(E181),B181&gt;E181),"HIGH","OK")))</f>
        <v>LOW</v>
      </c>
      <c r="G181" s="13" t="s">
        <v>260</v>
      </c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7"/>
      <c r="G182" s="7"/>
    </row>
    <row r="183" customFormat="false" ht="15" hidden="false" customHeight="false" outlineLevel="0" collapsed="false">
      <c r="A183" s="8" t="s">
        <v>261</v>
      </c>
      <c r="B183" s="9"/>
      <c r="C183" s="9"/>
      <c r="D183" s="9"/>
      <c r="E183" s="9"/>
      <c r="F183" s="9"/>
      <c r="G183" s="9"/>
    </row>
    <row r="184" customFormat="false" ht="15" hidden="false" customHeight="false" outlineLevel="0" collapsed="false">
      <c r="A184" s="10" t="s">
        <v>7</v>
      </c>
      <c r="B184" s="10" t="s">
        <v>8</v>
      </c>
      <c r="C184" s="10" t="s">
        <v>9</v>
      </c>
      <c r="D184" s="10" t="s">
        <v>10</v>
      </c>
      <c r="E184" s="10" t="s">
        <v>11</v>
      </c>
      <c r="F184" s="10" t="s">
        <v>12</v>
      </c>
      <c r="G184" s="10" t="s">
        <v>13</v>
      </c>
    </row>
    <row r="185" customFormat="false" ht="15" hidden="false" customHeight="false" outlineLevel="0" collapsed="false">
      <c r="A185" s="11" t="s">
        <v>262</v>
      </c>
      <c r="B185" s="17" t="n">
        <f aca="false">IF(AND(ISNUMBER($B$36),ISNUMBER($B$35)),$B$36-$B$35,"")</f>
        <v>9</v>
      </c>
      <c r="C185" s="11" t="s">
        <v>27</v>
      </c>
      <c r="D185" s="14"/>
      <c r="E185" s="14" t="n">
        <v>6</v>
      </c>
      <c r="F185" s="15" t="str">
        <f aca="false">IF(NOT(ISNUMBER(B185)),"",IF(AND(ISNUMBER(D185),B185&lt;D185),"LOW",IF(AND(ISNUMBER(E185),B185&gt;E185),"HIGH","OK")))</f>
        <v>HIGH</v>
      </c>
      <c r="G185" s="13" t="s">
        <v>263</v>
      </c>
    </row>
    <row r="186" customFormat="false" ht="15" hidden="false" customHeight="false" outlineLevel="0" collapsed="false">
      <c r="A186" s="11" t="s">
        <v>264</v>
      </c>
      <c r="B186" s="16" t="n">
        <f aca="false">IF(AND(ISNUMBER($B$185),ISNUMBER($B$162)),IF($B$162&lt;=0,"",$B$185/$B$162),"")</f>
        <v>1.66624701926922</v>
      </c>
      <c r="C186" s="11"/>
      <c r="D186" s="14"/>
      <c r="E186" s="14" t="n">
        <v>1.4</v>
      </c>
      <c r="F186" s="15" t="str">
        <f aca="false">IF(NOT(ISNUMBER(B186)),"",IF(AND(ISNUMBER(D186),B186&lt;D186),"LOW",IF(AND(ISNUMBER(E186),B186&gt;E186),"HIGH","OK")))</f>
        <v>HIGH</v>
      </c>
      <c r="G186" s="13" t="s">
        <v>265</v>
      </c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7"/>
      <c r="G187" s="7"/>
    </row>
    <row r="188" customFormat="false" ht="15" hidden="false" customHeight="false" outlineLevel="0" collapsed="false">
      <c r="A188" s="8" t="s">
        <v>266</v>
      </c>
      <c r="B188" s="9"/>
      <c r="C188" s="9"/>
      <c r="D188" s="9"/>
      <c r="E188" s="9"/>
      <c r="F188" s="9"/>
      <c r="G188" s="9"/>
    </row>
    <row r="189" customFormat="false" ht="15" hidden="false" customHeight="false" outlineLevel="0" collapsed="false">
      <c r="A189" s="10" t="s">
        <v>7</v>
      </c>
      <c r="B189" s="10" t="s">
        <v>8</v>
      </c>
      <c r="C189" s="10" t="s">
        <v>9</v>
      </c>
      <c r="D189" s="10" t="s">
        <v>10</v>
      </c>
      <c r="E189" s="10" t="s">
        <v>11</v>
      </c>
      <c r="F189" s="10" t="s">
        <v>12</v>
      </c>
      <c r="G189" s="10" t="s">
        <v>13</v>
      </c>
    </row>
    <row r="190" customFormat="false" ht="15" hidden="false" customHeight="false" outlineLevel="0" collapsed="false">
      <c r="A190" s="11" t="s">
        <v>267</v>
      </c>
      <c r="B190" s="17" t="str">
        <f aca="false">IF(AND(ISNUMBER($B$44)),IF(ISNUMBER($B$45),(3*$B$44+$B$45)/4,$B$44),"")</f>
        <v/>
      </c>
      <c r="C190" s="11" t="s">
        <v>48</v>
      </c>
      <c r="D190" s="7"/>
      <c r="E190" s="7"/>
      <c r="F190" s="7"/>
      <c r="G190" s="13" t="s">
        <v>268</v>
      </c>
    </row>
    <row r="191" customFormat="false" ht="15" hidden="false" customHeight="false" outlineLevel="0" collapsed="false">
      <c r="A191" s="11" t="s">
        <v>269</v>
      </c>
      <c r="B191" s="17" t="n">
        <f aca="false">IF(AND(ISNUMBER($B$31)),IF(ISNUMBER($B$46),$B$46,$B$31),"")</f>
        <v>56</v>
      </c>
      <c r="C191" s="11" t="s">
        <v>48</v>
      </c>
      <c r="D191" s="7"/>
      <c r="E191" s="7"/>
      <c r="F191" s="7"/>
      <c r="G191" s="13" t="s">
        <v>270</v>
      </c>
    </row>
    <row r="192" customFormat="false" ht="15" hidden="false" customHeight="false" outlineLevel="0" collapsed="false">
      <c r="A192" s="11" t="s">
        <v>271</v>
      </c>
      <c r="B192" s="17" t="n">
        <f aca="false">IF(ISNUMBER($B$47),$B$47,98)</f>
        <v>98</v>
      </c>
      <c r="C192" s="11" t="s">
        <v>48</v>
      </c>
      <c r="D192" s="7"/>
      <c r="E192" s="7"/>
      <c r="F192" s="7"/>
      <c r="G192" s="13" t="s">
        <v>272</v>
      </c>
    </row>
    <row r="193" customFormat="false" ht="15" hidden="false" customHeight="false" outlineLevel="0" collapsed="false">
      <c r="A193" s="11" t="s">
        <v>273</v>
      </c>
      <c r="B193" s="16" t="str">
        <f aca="false">IF(AND(ISNUMBER($B$30),ISNUMBER($B$190),ISNUMBER($B$192),ISNUMBER($B$191)),IF($B$192-$B$191=0,"",($B$30-$B$190)/($B$192-$B$191)),"")</f>
        <v/>
      </c>
      <c r="C193" s="11"/>
      <c r="D193" s="14" t="n">
        <v>0.8</v>
      </c>
      <c r="E193" s="14" t="n">
        <v>1.5</v>
      </c>
      <c r="F193" s="15" t="str">
        <f aca="false">IF(NOT(ISNUMBER(B193)),"",IF(AND(ISNUMBER(D193),B193&lt;D193),"LOW",IF(AND(ISNUMBER(E193),B193&gt;E193),"HIGH","OK")))</f>
        <v/>
      </c>
      <c r="G193" s="13" t="s">
        <v>274</v>
      </c>
    </row>
    <row r="194" customFormat="false" ht="15" hidden="false" customHeight="false" outlineLevel="0" collapsed="false">
      <c r="A194" s="11" t="s">
        <v>275</v>
      </c>
      <c r="B194" s="17" t="n">
        <f aca="false">IF(AND(ISNUMBER($B$38),ISNUMBER($B$39),ISNUMBER($B$35)),$B$38/100*($B$39-47)-$B$35/0.8,"")</f>
        <v>307.75</v>
      </c>
      <c r="C194" s="11" t="s">
        <v>27</v>
      </c>
      <c r="D194" s="7"/>
      <c r="E194" s="7"/>
      <c r="F194" s="7"/>
      <c r="G194" s="13" t="s">
        <v>276</v>
      </c>
    </row>
    <row r="195" customFormat="false" ht="15" hidden="false" customHeight="false" outlineLevel="0" collapsed="false">
      <c r="A195" s="11" t="s">
        <v>277</v>
      </c>
      <c r="B195" s="17" t="n">
        <f aca="false">IF(AND(ISNUMBER($B$194),ISNUMBER($B$33)),$B$194-$B$33,"")</f>
        <v>197.75</v>
      </c>
      <c r="C195" s="11" t="s">
        <v>27</v>
      </c>
      <c r="D195" s="7"/>
      <c r="E195" s="7"/>
      <c r="F195" s="7"/>
      <c r="G195" s="13" t="s">
        <v>278</v>
      </c>
    </row>
    <row r="196" customFormat="false" ht="15" hidden="false" customHeight="false" outlineLevel="0" collapsed="false">
      <c r="A196" s="11" t="s">
        <v>279</v>
      </c>
      <c r="B196" s="17" t="n">
        <f aca="false">IF(AND(ISNUMBER($B$33),ISNUMBER($B$38)),$B$33/($B$38/100),"")</f>
        <v>220</v>
      </c>
      <c r="C196" s="11"/>
      <c r="D196" s="14" t="n">
        <v>300</v>
      </c>
      <c r="E196" s="14"/>
      <c r="F196" s="15" t="str">
        <f aca="false">IF(NOT(ISNUMBER(B196)),"",IF(AND(ISNUMBER(D196),B196&lt;D196),"LOW",IF(AND(ISNUMBER(E196),B196&gt;E196),"HIGH","OK")))</f>
        <v>LOW</v>
      </c>
      <c r="G196" s="13" t="s">
        <v>280</v>
      </c>
    </row>
    <row r="197" customFormat="false" ht="15" hidden="false" customHeight="false" outlineLevel="0" collapsed="false">
      <c r="A197" s="11" t="s">
        <v>281</v>
      </c>
      <c r="B197" s="18" t="n">
        <f aca="false">IF(AND(ISNUMBER($B$29),ISNUMBER($B$194)),1.34*$B$29+0.003*$B$194,"")</f>
        <v>13.51925</v>
      </c>
      <c r="C197" s="11" t="s">
        <v>220</v>
      </c>
      <c r="D197" s="7"/>
      <c r="E197" s="7"/>
      <c r="F197" s="7"/>
      <c r="G197" s="13" t="s">
        <v>282</v>
      </c>
    </row>
    <row r="198" customFormat="false" ht="15" hidden="false" customHeight="false" outlineLevel="0" collapsed="false">
      <c r="A198" s="11" t="s">
        <v>283</v>
      </c>
      <c r="B198" s="19" t="n">
        <f aca="false">IF(AND(ISNUMBER($B$197),ISNUMBER($B$160),ISNUMBER($B$161)),IF($B$197-$B$161=0,"",($B$197-$B$160)/($B$197-$B$161)),"")</f>
        <v>0.152394119096303</v>
      </c>
      <c r="C198" s="11" t="s">
        <v>236</v>
      </c>
      <c r="D198" s="14"/>
      <c r="E198" s="14" t="n">
        <v>0.1</v>
      </c>
      <c r="F198" s="15" t="str">
        <f aca="false">IF(NOT(ISNUMBER(B198)),"",IF(AND(ISNUMBER(D198),B198&lt;D198),"LOW",IF(AND(ISNUMBER(E198),B198&gt;E198),"HIGH","OK")))</f>
        <v>HIGH</v>
      </c>
      <c r="G198" s="13" t="s">
        <v>284</v>
      </c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7"/>
      <c r="G199" s="7"/>
    </row>
    <row r="200" customFormat="false" ht="15" hidden="false" customHeight="false" outlineLevel="0" collapsed="false">
      <c r="A200" s="8" t="s">
        <v>285</v>
      </c>
      <c r="B200" s="9"/>
      <c r="C200" s="9"/>
      <c r="D200" s="9"/>
      <c r="E200" s="9"/>
      <c r="F200" s="9"/>
      <c r="G200" s="9"/>
    </row>
    <row r="201" customFormat="false" ht="15" hidden="false" customHeight="false" outlineLevel="0" collapsed="false">
      <c r="A201" s="10" t="s">
        <v>7</v>
      </c>
      <c r="B201" s="10" t="s">
        <v>8</v>
      </c>
      <c r="C201" s="10" t="s">
        <v>9</v>
      </c>
      <c r="D201" s="10" t="s">
        <v>10</v>
      </c>
      <c r="E201" s="10" t="s">
        <v>11</v>
      </c>
      <c r="F201" s="10" t="s">
        <v>12</v>
      </c>
      <c r="G201" s="10" t="s">
        <v>13</v>
      </c>
    </row>
    <row r="202" customFormat="false" ht="15" hidden="false" customHeight="false" outlineLevel="0" collapsed="false">
      <c r="A202" s="11" t="s">
        <v>286</v>
      </c>
      <c r="B202" s="17" t="n">
        <f aca="false">IF(AND(ISNUMBER($B$23)),IF(ISNUMBER($B$24),$B$24,$B$23),"")</f>
        <v>17</v>
      </c>
      <c r="C202" s="11" t="s">
        <v>27</v>
      </c>
      <c r="D202" s="7"/>
      <c r="E202" s="7"/>
      <c r="F202" s="7"/>
      <c r="G202" s="13" t="s">
        <v>287</v>
      </c>
    </row>
    <row r="203" customFormat="false" ht="15" hidden="false" customHeight="false" outlineLevel="0" collapsed="false">
      <c r="A203" s="11" t="s">
        <v>288</v>
      </c>
      <c r="B203" s="17" t="n">
        <f aca="false">IF(AND(ISNUMBER($B$17),ISNUMBER($B$202)),$B$17-$B$202,"")</f>
        <v>37</v>
      </c>
      <c r="C203" s="11" t="s">
        <v>27</v>
      </c>
      <c r="D203" s="14" t="n">
        <v>50</v>
      </c>
      <c r="E203" s="14"/>
      <c r="F203" s="15" t="str">
        <f aca="false">IF(NOT(ISNUMBER(B203)),"",IF(AND(ISNUMBER(D203),B203&lt;D203),"LOW",IF(AND(ISNUMBER(E203),B203&gt;E203),"HIGH","OK")))</f>
        <v>LOW</v>
      </c>
      <c r="G203" s="13" t="s">
        <v>289</v>
      </c>
    </row>
    <row r="204" customFormat="false" ht="15" hidden="false" customHeight="false" outlineLevel="0" collapsed="false">
      <c r="A204" s="11" t="s">
        <v>290</v>
      </c>
      <c r="B204" s="16" t="str">
        <f aca="false">IF(AND(ISNUMBER($B$28),ISNUMBER($B$12),ISNUMBER($B$57),ISNUMBER($B$56)),($B$28*1000)/($B$12*$B$57*44.3*SQRT($B$56)),"")</f>
        <v/>
      </c>
      <c r="C204" s="11" t="s">
        <v>291</v>
      </c>
      <c r="D204" s="14" t="n">
        <v>1</v>
      </c>
      <c r="E204" s="14"/>
      <c r="F204" s="15" t="str">
        <f aca="false">IF(NOT(ISNUMBER(B204)),"",IF(AND(ISNUMBER(D204),B204&lt;D204),"LOW",IF(AND(ISNUMBER(E204),B204&gt;E204),"HIGH","OK")))</f>
        <v/>
      </c>
      <c r="G204" s="13" t="s">
        <v>292</v>
      </c>
    </row>
    <row r="205" customFormat="false" ht="15" hidden="false" customHeight="false" outlineLevel="0" collapsed="false">
      <c r="A205" s="11" t="s">
        <v>293</v>
      </c>
      <c r="B205" s="16" t="str">
        <f aca="false">IF(AND(ISNUMBER($B$28),ISNUMBER($B$58)),$B$28/SQRT($B$58),"")</f>
        <v/>
      </c>
      <c r="C205" s="11" t="s">
        <v>291</v>
      </c>
      <c r="D205" s="14" t="n">
        <v>1</v>
      </c>
      <c r="E205" s="14"/>
      <c r="F205" s="15" t="str">
        <f aca="false">IF(NOT(ISNUMBER(B205)),"",IF(AND(ISNUMBER(D205),B205&lt;D205),"LOW",IF(AND(ISNUMBER(E205),B205&gt;E205),"HIGH","OK")))</f>
        <v/>
      </c>
      <c r="G205" s="13" t="s">
        <v>294</v>
      </c>
    </row>
    <row r="206" customFormat="false" ht="15" hidden="false" customHeight="false" outlineLevel="0" collapsed="false">
      <c r="A206" s="11" t="s">
        <v>295</v>
      </c>
      <c r="B206" s="16" t="str">
        <f aca="false">IF(AND(ISNUMBER($B$59),ISNUMBER($B$60),ISNUMBER($B$61)),PI()*($B$59/2)^2*$B$60/$B$61,"")</f>
        <v/>
      </c>
      <c r="C206" s="11" t="s">
        <v>291</v>
      </c>
      <c r="D206" s="14" t="n">
        <v>1</v>
      </c>
      <c r="E206" s="14"/>
      <c r="F206" s="15" t="str">
        <f aca="false">IF(NOT(ISNUMBER(B206)),"",IF(AND(ISNUMBER(D206),B206&lt;D206),"LOW",IF(AND(ISNUMBER(E206),B206&gt;E206),"HIGH","OK")))</f>
        <v/>
      </c>
      <c r="G206" s="13" t="s">
        <v>296</v>
      </c>
    </row>
    <row r="207" customFormat="false" ht="15" hidden="false" customHeight="false" outlineLevel="0" collapsed="false">
      <c r="A207" s="11" t="s">
        <v>297</v>
      </c>
      <c r="B207" s="16" t="str">
        <f aca="false">IF(AND(ISNUMBER($B$206),ISNUMBER($B$122)),$B$206/$B$122,"")</f>
        <v/>
      </c>
      <c r="C207" s="11" t="s">
        <v>298</v>
      </c>
      <c r="D207" s="14" t="n">
        <v>0.6</v>
      </c>
      <c r="E207" s="14"/>
      <c r="F207" s="15" t="str">
        <f aca="false">IF(NOT(ISNUMBER(B207)),"",IF(AND(ISNUMBER(D207),B207&lt;D207),"LOW",IF(AND(ISNUMBER(E207),B207&gt;E207),"HIGH","OK")))</f>
        <v/>
      </c>
      <c r="G207" s="13" t="s">
        <v>299</v>
      </c>
    </row>
    <row r="208" customFormat="false" ht="15" hidden="false" customHeight="false" outlineLevel="0" collapsed="false">
      <c r="A208" s="11" t="s">
        <v>300</v>
      </c>
      <c r="B208" s="17" t="str">
        <f aca="false">IF(AND(ISNUMBER($B$59),ISNUMBER($B$60)),PI()*($B$59/2)^2*$B$60,"")</f>
        <v/>
      </c>
      <c r="C208" s="11" t="s">
        <v>110</v>
      </c>
      <c r="D208" s="14" t="n">
        <v>60</v>
      </c>
      <c r="E208" s="14" t="n">
        <v>100</v>
      </c>
      <c r="F208" s="15" t="str">
        <f aca="false">IF(NOT(ISNUMBER(B208)),"",IF(AND(ISNUMBER(D208),B208&lt;D208),"LOW",IF(AND(ISNUMBER(E208),B208&gt;E208),"HIGH","OK")))</f>
        <v/>
      </c>
      <c r="G208" s="13" t="s">
        <v>301</v>
      </c>
    </row>
    <row r="209" customFormat="false" ht="15" hidden="false" customHeight="false" outlineLevel="0" collapsed="false">
      <c r="A209" s="7"/>
      <c r="B209" s="7"/>
      <c r="C209" s="7"/>
      <c r="D209" s="7"/>
      <c r="E209" s="7"/>
      <c r="F209" s="7"/>
      <c r="G209" s="7"/>
    </row>
    <row r="210" customFormat="false" ht="15" hidden="false" customHeight="false" outlineLevel="0" collapsed="false">
      <c r="A210" s="8" t="s">
        <v>302</v>
      </c>
      <c r="B210" s="9"/>
      <c r="C210" s="9"/>
      <c r="D210" s="9"/>
      <c r="E210" s="9"/>
      <c r="F210" s="9"/>
      <c r="G210" s="9"/>
    </row>
    <row r="211" customFormat="false" ht="15" hidden="false" customHeight="false" outlineLevel="0" collapsed="false">
      <c r="A211" s="10" t="s">
        <v>7</v>
      </c>
      <c r="B211" s="10" t="s">
        <v>8</v>
      </c>
      <c r="C211" s="10" t="s">
        <v>9</v>
      </c>
      <c r="D211" s="10" t="s">
        <v>10</v>
      </c>
      <c r="E211" s="10" t="s">
        <v>11</v>
      </c>
      <c r="F211" s="10" t="s">
        <v>12</v>
      </c>
      <c r="G211" s="10" t="s">
        <v>13</v>
      </c>
    </row>
    <row r="212" customFormat="false" ht="15" hidden="false" customHeight="false" outlineLevel="0" collapsed="false">
      <c r="A212" s="11" t="s">
        <v>303</v>
      </c>
      <c r="B212" s="18" t="n">
        <f aca="false">IF(AND(ISNUMBER($B$9)),N($B$66)+N($B$67)+100*N($B$68)+100*N($B$69)+10*N($B$70)+10000*N($B$71)/$B$9,"")</f>
        <v>15.5</v>
      </c>
      <c r="C212" s="11"/>
      <c r="D212" s="14"/>
      <c r="E212" s="14" t="n">
        <v>20</v>
      </c>
      <c r="F212" s="15" t="str">
        <f aca="false">IF(NOT(ISNUMBER(B212)),"",IF(AND(ISNUMBER(D212),B212&lt;D212),"LOW",IF(AND(ISNUMBER(E212),B212&gt;E212),"HIGH","OK")))</f>
        <v>OK</v>
      </c>
      <c r="G212" s="13" t="s">
        <v>304</v>
      </c>
    </row>
    <row r="213" customFormat="false" ht="15" hidden="false" customHeight="false" outlineLevel="0" collapsed="false">
      <c r="A213" s="11" t="s">
        <v>305</v>
      </c>
      <c r="B213" s="20" t="str">
        <f aca="false">IF(AND(ISNUMBER($B$129),ISNUMBER($B$23)),IF($B$129&gt;2.2,IF($B$23&lt;=18,"I: warm / dry","II: warm / wet"),IF($B$23&lt;=18,"III: cold / dry","IV: cold / wet")),"")</f>
        <v>III: cold / dry</v>
      </c>
      <c r="C213" s="11"/>
      <c r="D213" s="7"/>
      <c r="E213" s="7"/>
      <c r="F213" s="7"/>
      <c r="G213" s="13" t="s">
        <v>306</v>
      </c>
    </row>
    <row r="214" customFormat="false" ht="15" hidden="false" customHeight="false" outlineLevel="0" collapsed="false">
      <c r="A214" s="7"/>
      <c r="B214" s="7"/>
      <c r="C214" s="7"/>
      <c r="D214" s="7"/>
      <c r="E214" s="7"/>
      <c r="F214" s="7"/>
      <c r="G214" s="7"/>
    </row>
    <row r="215" customFormat="false" ht="15" hidden="false" customHeight="false" outlineLevel="0" collapsed="false">
      <c r="A215" s="8" t="s">
        <v>307</v>
      </c>
      <c r="B215" s="9"/>
      <c r="C215" s="9"/>
      <c r="D215" s="9"/>
      <c r="E215" s="9"/>
      <c r="F215" s="9"/>
      <c r="G215" s="9"/>
    </row>
    <row r="216" customFormat="false" ht="15" hidden="false" customHeight="false" outlineLevel="0" collapsed="false">
      <c r="A216" s="10" t="s">
        <v>7</v>
      </c>
      <c r="B216" s="10" t="s">
        <v>8</v>
      </c>
      <c r="C216" s="10" t="s">
        <v>9</v>
      </c>
      <c r="D216" s="10" t="s">
        <v>10</v>
      </c>
      <c r="E216" s="10" t="s">
        <v>11</v>
      </c>
      <c r="F216" s="10" t="s">
        <v>12</v>
      </c>
      <c r="G216" s="10" t="s">
        <v>13</v>
      </c>
    </row>
    <row r="217" customFormat="false" ht="15" hidden="false" customHeight="false" outlineLevel="0" collapsed="false">
      <c r="A217" s="11" t="s">
        <v>308</v>
      </c>
      <c r="B217" s="21" t="n">
        <f aca="false">IF(AND(ISNUMBER($B$9)),$B$9*IF(UPPER($B$11)="F",65,70),"")</f>
        <v>6160</v>
      </c>
      <c r="C217" s="11" t="s">
        <v>110</v>
      </c>
      <c r="D217" s="7"/>
      <c r="E217" s="7"/>
      <c r="F217" s="7"/>
      <c r="G217" s="13" t="s">
        <v>309</v>
      </c>
    </row>
    <row r="218" customFormat="false" ht="15" hidden="false" customHeight="false" outlineLevel="0" collapsed="false">
      <c r="A218" s="11" t="s">
        <v>310</v>
      </c>
      <c r="B218" s="18" t="str">
        <f aca="false">IF(AND(ISNUMBER($B$217),ISNUMBER($B$75),ISNUMBER($B$76)),$B$217*$B$75/($B$217+$B$76+N($B$77)+N($B$78)),"")</f>
        <v/>
      </c>
      <c r="C218" s="11" t="s">
        <v>48</v>
      </c>
      <c r="D218" s="14" t="n">
        <v>21</v>
      </c>
      <c r="E218" s="14"/>
      <c r="F218" s="15" t="str">
        <f aca="false">IF(NOT(ISNUMBER(B218)),"",IF(AND(ISNUMBER(D218),B218&lt;D218),"LOW",IF(AND(ISNUMBER(E218),B218&gt;E218),"HIGH","OK")))</f>
        <v/>
      </c>
      <c r="G218" s="13" t="s">
        <v>311</v>
      </c>
    </row>
    <row r="219" customFormat="false" ht="15" hidden="false" customHeight="false" outlineLevel="0" collapsed="false">
      <c r="A219" s="11" t="s">
        <v>312</v>
      </c>
      <c r="B219" s="21" t="str">
        <f aca="false">IF(AND(ISNUMBER($B$217),ISNUMBER($B$75),ISNUMBER($B$79)),$B$217*($B$75-$B$79)/(($B$75+$B$79)/2),"")</f>
        <v/>
      </c>
      <c r="C219" s="11" t="s">
        <v>110</v>
      </c>
      <c r="D219" s="7"/>
      <c r="E219" s="7"/>
      <c r="F219" s="7"/>
      <c r="G219" s="13" t="s">
        <v>313</v>
      </c>
    </row>
    <row r="220" customFormat="false" ht="15" hidden="false" customHeight="false" outlineLevel="0" collapsed="false">
      <c r="A220" s="11" t="s">
        <v>314</v>
      </c>
      <c r="B220" s="16" t="str">
        <f aca="false">IF(AND(ISNUMBER($B$80),ISNUMBER($B$122)),$B$80/$B$122,"")</f>
        <v/>
      </c>
      <c r="C220" s="11" t="s">
        <v>169</v>
      </c>
      <c r="D220" s="14" t="n">
        <v>2.2</v>
      </c>
      <c r="E220" s="14" t="n">
        <v>2.4</v>
      </c>
      <c r="F220" s="15" t="str">
        <f aca="false">IF(NOT(ISNUMBER(B220)),"",IF(AND(ISNUMBER(D220),B220&lt;D220),"LOW",IF(AND(ISNUMBER(E220),B220&gt;E220),"HIGH","OK")))</f>
        <v/>
      </c>
      <c r="G220" s="13" t="s">
        <v>315</v>
      </c>
    </row>
    <row r="221" customFormat="false" ht="15" hidden="false" customHeight="false" outlineLevel="0" collapsed="false">
      <c r="A221" s="11" t="s">
        <v>316</v>
      </c>
      <c r="B221" s="17" t="str">
        <f aca="false">IF(AND(ISNUMBER($B$220),ISNUMBER($B$160)),$B$220*$B$160*10,"")</f>
        <v/>
      </c>
      <c r="C221" s="11" t="s">
        <v>229</v>
      </c>
      <c r="D221" s="14" t="n">
        <v>272</v>
      </c>
      <c r="E221" s="14"/>
      <c r="F221" s="15" t="str">
        <f aca="false">IF(NOT(ISNUMBER(B221)),"",IF(AND(ISNUMBER(D221),B221&lt;D221),"LOW",IF(AND(ISNUMBER(E221),B221&gt;E221),"HIGH","OK")))</f>
        <v/>
      </c>
      <c r="G221" s="13" t="s">
        <v>317</v>
      </c>
    </row>
    <row r="222" customFormat="false" ht="15" hidden="false" customHeight="false" outlineLevel="0" collapsed="false">
      <c r="A222" s="11" t="s">
        <v>318</v>
      </c>
      <c r="B222" s="21" t="n">
        <f aca="false">IF(AND(ISNUMBER($B$9)),300*$B$9,"")</f>
        <v>26400</v>
      </c>
      <c r="C222" s="11" t="s">
        <v>118</v>
      </c>
      <c r="D222" s="7"/>
      <c r="E222" s="7"/>
      <c r="F222" s="7"/>
      <c r="G222" s="13" t="s">
        <v>319</v>
      </c>
    </row>
    <row r="223" customFormat="false" ht="15" hidden="false" customHeight="false" outlineLevel="0" collapsed="false">
      <c r="A223" s="11" t="s">
        <v>320</v>
      </c>
      <c r="B223" s="21" t="n">
        <f aca="false">IF(AND(ISNUMBER($B$9)),400*$B$9,"")</f>
        <v>35200</v>
      </c>
      <c r="C223" s="11" t="s">
        <v>118</v>
      </c>
      <c r="D223" s="7"/>
      <c r="E223" s="7"/>
      <c r="F223" s="7"/>
      <c r="G223" s="13"/>
    </row>
    <row r="224" customFormat="false" ht="15" hidden="false" customHeight="false" outlineLevel="0" collapsed="false">
      <c r="A224" s="11" t="s">
        <v>321</v>
      </c>
      <c r="B224" s="17" t="str">
        <f aca="false">IF(AND(ISNUMBER($B$81)),$B$81/100,"")</f>
        <v/>
      </c>
      <c r="C224" s="11" t="s">
        <v>322</v>
      </c>
      <c r="D224" s="7"/>
      <c r="E224" s="7"/>
      <c r="F224" s="7"/>
      <c r="G224" s="13" t="s">
        <v>323</v>
      </c>
    </row>
    <row r="225" customFormat="false" ht="15" hidden="false" customHeight="false" outlineLevel="0" collapsed="false">
      <c r="A225" s="11" t="s">
        <v>324</v>
      </c>
      <c r="B225" s="17" t="str">
        <f aca="false">IF(AND(ISNUMBER($B$81)),1.3*$B$81/100,"")</f>
        <v/>
      </c>
      <c r="C225" s="11" t="s">
        <v>322</v>
      </c>
      <c r="D225" s="7"/>
      <c r="E225" s="7"/>
      <c r="F225" s="7"/>
      <c r="G225" s="13" t="s">
        <v>325</v>
      </c>
    </row>
    <row r="226" customFormat="false" ht="15" hidden="false" customHeight="false" outlineLevel="0" collapsed="false">
      <c r="A226" s="7"/>
      <c r="B226" s="7"/>
      <c r="C226" s="7"/>
      <c r="D226" s="7"/>
      <c r="E226" s="7"/>
      <c r="F226" s="7"/>
      <c r="G226" s="7"/>
    </row>
    <row r="227" customFormat="false" ht="15" hidden="false" customHeight="false" outlineLevel="0" collapsed="false">
      <c r="A227" s="8" t="s">
        <v>326</v>
      </c>
      <c r="B227" s="9"/>
      <c r="C227" s="9"/>
      <c r="D227" s="9"/>
      <c r="E227" s="9"/>
      <c r="F227" s="9"/>
      <c r="G227" s="9"/>
    </row>
    <row r="228" customFormat="false" ht="15" hidden="false" customHeight="false" outlineLevel="0" collapsed="false">
      <c r="A228" s="10" t="s">
        <v>7</v>
      </c>
      <c r="B228" s="10" t="s">
        <v>8</v>
      </c>
      <c r="C228" s="10" t="s">
        <v>9</v>
      </c>
      <c r="D228" s="10" t="s">
        <v>10</v>
      </c>
      <c r="E228" s="10" t="s">
        <v>11</v>
      </c>
      <c r="F228" s="10" t="s">
        <v>12</v>
      </c>
      <c r="G228" s="10" t="s">
        <v>13</v>
      </c>
    </row>
    <row r="229" customFormat="false" ht="15" hidden="false" customHeight="false" outlineLevel="0" collapsed="false">
      <c r="A229" s="11" t="s">
        <v>327</v>
      </c>
      <c r="B229" s="17" t="str">
        <f aca="false">IF(AND(ISNUMBER($B$85),ISNUMBER($B$87)),$B$85*(1-$B$87/19),"")</f>
        <v/>
      </c>
      <c r="C229" s="11" t="s">
        <v>122</v>
      </c>
      <c r="D229" s="14" t="n">
        <v>60</v>
      </c>
      <c r="E229" s="14"/>
      <c r="F229" s="15" t="str">
        <f aca="false">IF(NOT(ISNUMBER(B229)),"",IF(AND(ISNUMBER(D229),B229&lt;D229),"LOW",IF(AND(ISNUMBER(E229),B229&gt;E229),"HIGH","OK")))</f>
        <v/>
      </c>
      <c r="G229" s="13" t="s">
        <v>328</v>
      </c>
    </row>
    <row r="230" customFormat="false" ht="15" hidden="false" customHeight="false" outlineLevel="0" collapsed="false">
      <c r="A230" s="11" t="s">
        <v>329</v>
      </c>
      <c r="B230" s="17" t="str">
        <f aca="false">IF(AND(ISNUMBER($B$86),ISNUMBER($B$87)),$B$86*(1-$B$87/19),"")</f>
        <v/>
      </c>
      <c r="C230" s="11" t="s">
        <v>122</v>
      </c>
      <c r="D230" s="14" t="n">
        <v>60</v>
      </c>
      <c r="E230" s="14"/>
      <c r="F230" s="15" t="str">
        <f aca="false">IF(NOT(ISNUMBER(B230)),"",IF(AND(ISNUMBER(D230),B230&lt;D230),"LOW",IF(AND(ISNUMBER(E230),B230&gt;E230),"HIGH","OK")))</f>
        <v/>
      </c>
      <c r="G230" s="13" t="s">
        <v>328</v>
      </c>
    </row>
    <row r="231" customFormat="false" ht="15" hidden="false" customHeight="false" outlineLevel="0" collapsed="false">
      <c r="A231" s="11" t="s">
        <v>330</v>
      </c>
      <c r="B231" s="17" t="str">
        <f aca="false">IF(AND(ISNUMBER($B$89),ISNUMBER($B$90)),$B$89-$B$90,"")</f>
        <v/>
      </c>
      <c r="C231" s="11" t="s">
        <v>129</v>
      </c>
      <c r="D231" s="14"/>
      <c r="E231" s="14" t="n">
        <v>14.99</v>
      </c>
      <c r="F231" s="15" t="str">
        <f aca="false">IF(NOT(ISNUMBER(B231)),"",IF(AND(ISNUMBER(D231),B231&lt;D231),"LOW",IF(AND(ISNUMBER(E231),B231&gt;E231),"HIGH","OK")))</f>
        <v/>
      </c>
      <c r="G231" s="13" t="s">
        <v>331</v>
      </c>
    </row>
    <row r="232" customFormat="false" ht="15" hidden="false" customHeight="false" outlineLevel="0" collapsed="false">
      <c r="A232" s="11" t="s">
        <v>332</v>
      </c>
      <c r="B232" s="17" t="str">
        <f aca="false">IF(AND(ISNUMBER($B$88),ISNUMBER($B$89),ISNUMBER($B$90)),IF($B$89-$B$90&lt;=0,"",$B$88/($B$89-$B$90)),"")</f>
        <v/>
      </c>
      <c r="C232" s="11" t="s">
        <v>333</v>
      </c>
      <c r="D232" s="14" t="n">
        <v>50</v>
      </c>
      <c r="E232" s="14" t="n">
        <v>80</v>
      </c>
      <c r="F232" s="15" t="str">
        <f aca="false">IF(NOT(ISNUMBER(B232)),"",IF(AND(ISNUMBER(D232),B232&lt;D232),"LOW",IF(AND(ISNUMBER(E232),B232&gt;E232),"HIGH","OK")))</f>
        <v/>
      </c>
      <c r="G232" s="13" t="s">
        <v>334</v>
      </c>
    </row>
    <row r="233" customFormat="false" ht="15" hidden="false" customHeight="false" outlineLevel="0" collapsed="false">
      <c r="A233" s="11" t="s">
        <v>335</v>
      </c>
      <c r="B233" s="18" t="str">
        <f aca="false">IF(AND(ISNUMBER($B$88),ISNUMBER($B$8)),$B$88/IF(UPPER($B$11)="F",45.5+0.91*($B$8-152.4),50+0.91*($B$8-152.4)),"")</f>
        <v/>
      </c>
      <c r="C233" s="11" t="s">
        <v>336</v>
      </c>
      <c r="D233" s="14" t="n">
        <v>4</v>
      </c>
      <c r="E233" s="14" t="n">
        <v>8</v>
      </c>
      <c r="F233" s="15" t="str">
        <f aca="false">IF(NOT(ISNUMBER(B233)),"",IF(AND(ISNUMBER(D233),B233&lt;D233),"LOW",IF(AND(ISNUMBER(E233),B233&gt;E233),"HIGH","OK")))</f>
        <v/>
      </c>
      <c r="G233" s="13" t="s">
        <v>337</v>
      </c>
    </row>
    <row r="234" customFormat="false" ht="15" hidden="false" customHeight="false" outlineLevel="0" collapsed="false">
      <c r="A234" s="11" t="s">
        <v>338</v>
      </c>
      <c r="B234" s="16" t="str">
        <f aca="false">IF(AND(ISNUMBER($B$35),ISNUMBER($B$92)),($B$35-$B$92)/$B$35,"")</f>
        <v/>
      </c>
      <c r="C234" s="11" t="s">
        <v>236</v>
      </c>
      <c r="D234" s="14"/>
      <c r="E234" s="14" t="n">
        <v>0.3</v>
      </c>
      <c r="F234" s="15" t="str">
        <f aca="false">IF(NOT(ISNUMBER(B234)),"",IF(AND(ISNUMBER(D234),B234&lt;D234),"LOW",IF(AND(ISNUMBER(E234),B234&gt;E234),"HIGH","OK")))</f>
        <v/>
      </c>
      <c r="G234" s="13" t="s">
        <v>339</v>
      </c>
    </row>
    <row r="235" customFormat="false" ht="15" hidden="false" customHeight="false" outlineLevel="0" collapsed="false">
      <c r="A235" s="11" t="s">
        <v>340</v>
      </c>
      <c r="B235" s="18" t="str">
        <f aca="false">IF(AND(ISNUMBER($B$38),ISNUMBER($B$91),ISNUMBER($B$33)),$B$38/100*$B$91*100/$B$33,"")</f>
        <v/>
      </c>
      <c r="C235" s="11"/>
      <c r="D235" s="14"/>
      <c r="E235" s="14" t="n">
        <v>20</v>
      </c>
      <c r="F235" s="15" t="str">
        <f aca="false">IF(NOT(ISNUMBER(B235)),"",IF(AND(ISNUMBER(D235),B235&lt;D235),"LOW",IF(AND(ISNUMBER(E235),B235&gt;E235),"HIGH","OK")))</f>
        <v/>
      </c>
      <c r="G235" s="13" t="s">
        <v>341</v>
      </c>
    </row>
    <row r="236" customFormat="false" ht="15" hidden="false" customHeight="false" outlineLevel="0" collapsed="false">
      <c r="A236" s="7"/>
      <c r="B236" s="7"/>
      <c r="C236" s="7"/>
      <c r="D236" s="7"/>
      <c r="E236" s="7"/>
      <c r="F236" s="7"/>
      <c r="G236" s="7"/>
    </row>
    <row r="237" customFormat="false" ht="15" hidden="false" customHeight="false" outlineLevel="0" collapsed="false">
      <c r="A237" s="8" t="s">
        <v>342</v>
      </c>
      <c r="B237" s="9"/>
      <c r="C237" s="9"/>
      <c r="D237" s="9"/>
      <c r="E237" s="9"/>
      <c r="F237" s="9"/>
      <c r="G237" s="9"/>
    </row>
    <row r="238" customFormat="false" ht="15" hidden="false" customHeight="false" outlineLevel="0" collapsed="false">
      <c r="A238" s="10" t="s">
        <v>7</v>
      </c>
      <c r="B238" s="10" t="s">
        <v>8</v>
      </c>
      <c r="C238" s="10" t="s">
        <v>9</v>
      </c>
      <c r="D238" s="10" t="s">
        <v>10</v>
      </c>
      <c r="E238" s="10" t="s">
        <v>11</v>
      </c>
      <c r="F238" s="10" t="s">
        <v>12</v>
      </c>
      <c r="G238" s="10" t="s">
        <v>13</v>
      </c>
    </row>
    <row r="239" customFormat="false" ht="15" hidden="false" customHeight="false" outlineLevel="0" collapsed="false">
      <c r="A239" s="11" t="s">
        <v>343</v>
      </c>
      <c r="B239" s="19" t="str">
        <f aca="false">IF(AND(ISNUMBER($B$97),ISNUMBER($B$98),ISNUMBER($B$101)),IF($B$98-$B$101=0,"",($B$97-$B$101)/($B$98-$B$101)),"")</f>
        <v/>
      </c>
      <c r="C239" s="11" t="s">
        <v>236</v>
      </c>
      <c r="D239" s="14"/>
      <c r="E239" s="14" t="n">
        <v>0.2</v>
      </c>
      <c r="F239" s="15" t="str">
        <f aca="false">IF(NOT(ISNUMBER(B239)),"",IF(AND(ISNUMBER(D239),B239&lt;D239),"LOW",IF(AND(ISNUMBER(E239),B239&gt;E239),"HIGH","OK")))</f>
        <v/>
      </c>
      <c r="G239" s="13" t="s">
        <v>344</v>
      </c>
    </row>
    <row r="240" customFormat="false" ht="15" hidden="false" customHeight="false" outlineLevel="0" collapsed="false">
      <c r="A240" s="11" t="s">
        <v>345</v>
      </c>
      <c r="B240" s="18" t="str">
        <f aca="false">IF(AND(ISNUMBER($B$29),ISNUMBER($B$97),ISNUMBER($B$99)),1.34*$B$29*$B$97/100+0.003*$B$99,"")</f>
        <v/>
      </c>
      <c r="C240" s="11" t="s">
        <v>220</v>
      </c>
      <c r="D240" s="7"/>
      <c r="E240" s="7"/>
      <c r="F240" s="7"/>
      <c r="G240" s="13"/>
    </row>
    <row r="241" customFormat="false" ht="15" hidden="false" customHeight="false" outlineLevel="0" collapsed="false">
      <c r="A241" s="11" t="s">
        <v>346</v>
      </c>
      <c r="B241" s="18" t="str">
        <f aca="false">IF(AND(ISNUMBER($B$29),ISNUMBER($B$98),ISNUMBER($B$100)),1.34*$B$29*$B$98/100+0.003*$B$100,"")</f>
        <v/>
      </c>
      <c r="C241" s="11" t="s">
        <v>220</v>
      </c>
      <c r="D241" s="7"/>
      <c r="E241" s="7"/>
      <c r="F241" s="7"/>
      <c r="G241" s="13"/>
    </row>
    <row r="242" customFormat="false" ht="15" hidden="false" customHeight="false" outlineLevel="0" collapsed="false">
      <c r="A242" s="11" t="s">
        <v>347</v>
      </c>
      <c r="B242" s="17" t="str">
        <f aca="false">IF(AND(ISNUMBER($B$96),ISNUMBER($B$241),ISNUMBER($B$240)),$B$96*($B$241-$B$240)*10,"")</f>
        <v/>
      </c>
      <c r="C242" s="11" t="s">
        <v>64</v>
      </c>
      <c r="D242" s="7"/>
      <c r="E242" s="7"/>
      <c r="F242" s="7"/>
      <c r="G242" s="13" t="s">
        <v>348</v>
      </c>
    </row>
    <row r="243" customFormat="false" ht="15" hidden="false" customHeight="false" outlineLevel="0" collapsed="false">
      <c r="A243" s="11" t="s">
        <v>349</v>
      </c>
      <c r="B243" s="17" t="str">
        <f aca="false">IF(AND(ISNUMBER($B$96),ISNUMBER($B$9)),$B$96*1000/$B$9,"")</f>
        <v/>
      </c>
      <c r="C243" s="11" t="s">
        <v>350</v>
      </c>
      <c r="D243" s="14" t="n">
        <v>50</v>
      </c>
      <c r="E243" s="14" t="n">
        <v>80</v>
      </c>
      <c r="F243" s="15" t="str">
        <f aca="false">IF(NOT(ISNUMBER(B243)),"",IF(AND(ISNUMBER(D243),B243&lt;D243),"LOW",IF(AND(ISNUMBER(E243),B243&gt;E243),"HIGH","OK")))</f>
        <v/>
      </c>
      <c r="G243" s="13" t="s">
        <v>351</v>
      </c>
    </row>
    <row r="244" customFormat="false" ht="15" hidden="false" customHeight="false" outlineLevel="0" collapsed="false">
      <c r="A244" s="11" t="s">
        <v>352</v>
      </c>
      <c r="B244" s="17" t="str">
        <f aca="false">IF(AND(ISNUMBER($B$100)),$B$100,"")</f>
        <v/>
      </c>
      <c r="C244" s="11" t="s">
        <v>27</v>
      </c>
      <c r="D244" s="14" t="n">
        <v>150</v>
      </c>
      <c r="E244" s="14"/>
      <c r="F244" s="15" t="str">
        <f aca="false">IF(NOT(ISNUMBER(B244)),"",IF(AND(ISNUMBER(D244),B244&lt;D244),"LOW",IF(AND(ISNUMBER(E244),B244&gt;E244),"HIGH","OK")))</f>
        <v/>
      </c>
      <c r="G244" s="13" t="s">
        <v>353</v>
      </c>
    </row>
    <row r="245" customFormat="false" ht="15" hidden="false" customHeight="false" outlineLevel="0" collapsed="false">
      <c r="A245" s="7"/>
      <c r="B245" s="7"/>
      <c r="C245" s="7"/>
      <c r="D245" s="7"/>
      <c r="E245" s="7"/>
      <c r="F245" s="7"/>
      <c r="G245" s="7"/>
    </row>
    <row r="246" customFormat="false" ht="15" hidden="false" customHeight="false" outlineLevel="0" collapsed="false">
      <c r="A246" s="8" t="s">
        <v>354</v>
      </c>
      <c r="B246" s="9"/>
      <c r="C246" s="9"/>
      <c r="D246" s="9"/>
      <c r="E246" s="9"/>
      <c r="F246" s="9"/>
      <c r="G246" s="9"/>
    </row>
    <row r="247" customFormat="false" ht="15" hidden="false" customHeight="false" outlineLevel="0" collapsed="false">
      <c r="A247" s="10" t="s">
        <v>7</v>
      </c>
      <c r="B247" s="10" t="s">
        <v>8</v>
      </c>
      <c r="C247" s="10" t="s">
        <v>9</v>
      </c>
      <c r="D247" s="10" t="s">
        <v>10</v>
      </c>
      <c r="E247" s="10" t="s">
        <v>11</v>
      </c>
      <c r="F247" s="10" t="s">
        <v>12</v>
      </c>
      <c r="G247" s="10" t="s">
        <v>13</v>
      </c>
    </row>
    <row r="248" customFormat="false" ht="15" hidden="false" customHeight="false" outlineLevel="0" collapsed="false">
      <c r="A248" s="11" t="s">
        <v>355</v>
      </c>
      <c r="B248" s="16" t="str">
        <f aca="false">IF(AND(ISNUMBER($B$105),ISNUMBER($B$106),ISNUMBER($B$107)),2*PI()*$B$105^2*$B$106/$B$107,"")</f>
        <v/>
      </c>
      <c r="C248" s="11" t="s">
        <v>291</v>
      </c>
      <c r="D248" s="14"/>
      <c r="E248" s="14" t="n">
        <v>0.39</v>
      </c>
      <c r="F248" s="15" t="str">
        <f aca="false">IF(NOT(ISNUMBER(B248)),"",IF(AND(ISNUMBER(D248),B248&lt;D248),"LOW",IF(AND(ISNUMBER(E248),B248&gt;E248),"HIGH","OK")))</f>
        <v/>
      </c>
      <c r="G248" s="13" t="s">
        <v>356</v>
      </c>
    </row>
    <row r="249" customFormat="false" ht="15" hidden="false" customHeight="false" outlineLevel="0" collapsed="false">
      <c r="A249" s="11" t="s">
        <v>357</v>
      </c>
      <c r="B249" s="17" t="str">
        <f aca="false">IF(AND(ISNUMBER($B$248),ISNUMBER($B$108)),$B$248*$B$108,"")</f>
        <v/>
      </c>
      <c r="C249" s="11" t="s">
        <v>110</v>
      </c>
      <c r="D249" s="14"/>
      <c r="E249" s="14" t="n">
        <v>59</v>
      </c>
      <c r="F249" s="15" t="str">
        <f aca="false">IF(NOT(ISNUMBER(B249)),"",IF(AND(ISNUMBER(D249),B249&lt;D249),"LOW",IF(AND(ISNUMBER(E249),B249&gt;E249),"HIGH","OK")))</f>
        <v/>
      </c>
      <c r="G249" s="13" t="s">
        <v>358</v>
      </c>
    </row>
    <row r="250" customFormat="false" ht="15" hidden="false" customHeight="false" outlineLevel="0" collapsed="false">
      <c r="A250" s="11" t="s">
        <v>359</v>
      </c>
      <c r="B250" s="16" t="str">
        <f aca="false">IF(AND(ISNUMBER($B$109)),220/$B$109,"")</f>
        <v/>
      </c>
      <c r="C250" s="11" t="s">
        <v>291</v>
      </c>
      <c r="D250" s="14" t="n">
        <v>1.51</v>
      </c>
      <c r="E250" s="14"/>
      <c r="F250" s="15" t="str">
        <f aca="false">IF(NOT(ISNUMBER(B250)),"",IF(AND(ISNUMBER(D250),B250&lt;D250),"LOW",IF(AND(ISNUMBER(E250),B250&gt;E250),"HIGH","OK")))</f>
        <v/>
      </c>
      <c r="G250" s="13" t="s">
        <v>360</v>
      </c>
    </row>
    <row r="251" customFormat="false" ht="15" hidden="false" customHeight="false" outlineLevel="0" collapsed="false">
      <c r="A251" s="11" t="s">
        <v>361</v>
      </c>
      <c r="B251" s="18" t="str">
        <f aca="false">IF(AND(ISNUMBER($B$110),ISNUMBER($B$111)),$B$110/$B$111,"")</f>
        <v/>
      </c>
      <c r="C251" s="11"/>
      <c r="D251" s="14"/>
      <c r="E251" s="14" t="n">
        <v>14</v>
      </c>
      <c r="F251" s="15" t="str">
        <f aca="false">IF(NOT(ISNUMBER(B251)),"",IF(AND(ISNUMBER(D251),B251&lt;D251),"LOW",IF(AND(ISNUMBER(E251),B251&gt;E251),"HIGH","OK")))</f>
        <v/>
      </c>
      <c r="G251" s="13" t="s">
        <v>362</v>
      </c>
    </row>
    <row r="252" customFormat="false" ht="15" hidden="false" customHeight="false" outlineLevel="0" collapsed="false">
      <c r="A252" s="7"/>
      <c r="B252" s="7"/>
      <c r="C252" s="7"/>
      <c r="D252" s="7"/>
      <c r="E252" s="7"/>
      <c r="F252" s="7"/>
      <c r="G252" s="7"/>
    </row>
    <row r="253" customFormat="false" ht="15" hidden="false" customHeight="false" outlineLevel="0" collapsed="false">
      <c r="A253" s="8" t="s">
        <v>363</v>
      </c>
      <c r="B253" s="9"/>
      <c r="C253" s="9"/>
      <c r="D253" s="9"/>
      <c r="E253" s="9"/>
      <c r="F253" s="9"/>
      <c r="G253" s="9"/>
    </row>
    <row r="254" customFormat="false" ht="15" hidden="false" customHeight="false" outlineLevel="0" collapsed="false">
      <c r="A254" s="10" t="s">
        <v>7</v>
      </c>
      <c r="B254" s="10" t="s">
        <v>8</v>
      </c>
      <c r="C254" s="10" t="s">
        <v>9</v>
      </c>
      <c r="D254" s="10" t="s">
        <v>10</v>
      </c>
      <c r="E254" s="10" t="s">
        <v>11</v>
      </c>
      <c r="F254" s="10" t="s">
        <v>12</v>
      </c>
      <c r="G254" s="10" t="s">
        <v>13</v>
      </c>
    </row>
    <row r="255" customFormat="false" ht="15" hidden="false" customHeight="false" outlineLevel="0" collapsed="false">
      <c r="A255" s="11" t="s">
        <v>364</v>
      </c>
      <c r="B255" s="17" t="n">
        <f aca="false">IF(AND(ISNUMBER($B$8),ISNUMBER($B$9)),IF(UPPER($B$11)="F",6.82,8.25)*($B$8/100)^0.54*$B$9^0.61,"")</f>
        <v>172.908036788542</v>
      </c>
      <c r="C255" s="11" t="s">
        <v>365</v>
      </c>
      <c r="D255" s="7"/>
      <c r="E255" s="7"/>
      <c r="F255" s="7"/>
      <c r="G255" s="13" t="s">
        <v>366</v>
      </c>
    </row>
    <row r="256" customFormat="false" ht="15" hidden="false" customHeight="false" outlineLevel="0" collapsed="false">
      <c r="A256" s="11" t="s">
        <v>367</v>
      </c>
      <c r="B256" s="17" t="n">
        <f aca="false">IF(AND(ISNUMBER($B$10),ISNUMBER($B$8),ISNUMBER($B$9)),IF(UPPER($B$11)="F",10.59,11.25)*$B$10^-0.32*($B$8/100)^1.135*$B$9^0.315,"")</f>
        <v>23.437628983723</v>
      </c>
      <c r="C256" s="11" t="s">
        <v>365</v>
      </c>
      <c r="D256" s="7"/>
      <c r="E256" s="7"/>
      <c r="F256" s="7"/>
      <c r="G256" s="13" t="s">
        <v>368</v>
      </c>
    </row>
    <row r="257" customFormat="false" ht="15" hidden="false" customHeight="false" outlineLevel="0" collapsed="false">
      <c r="A257" s="11" t="s">
        <v>369</v>
      </c>
      <c r="B257" s="17" t="n">
        <f aca="false">IF(AND(ISNUMBER($B$255),ISNUMBER($B$256)),$B$255+$B$256,"")</f>
        <v>196.345665772265</v>
      </c>
      <c r="C257" s="11" t="s">
        <v>365</v>
      </c>
      <c r="D257" s="7"/>
      <c r="E257" s="7"/>
      <c r="F257" s="7"/>
      <c r="G257" s="13" t="s">
        <v>370</v>
      </c>
    </row>
    <row r="258" customFormat="false" ht="15" hidden="false" customHeight="false" outlineLevel="0" collapsed="false">
      <c r="A258" s="11" t="s">
        <v>371</v>
      </c>
      <c r="B258" s="17" t="str">
        <f aca="false">IF(AND(ISNUMBER($B$117),ISNUMBER($B$118)),IF(UPPER($B$116)="F",6.82,8.25)*($B$117/100)^0.54*$B$118^0.61,"")</f>
        <v/>
      </c>
      <c r="C258" s="11" t="s">
        <v>365</v>
      </c>
      <c r="D258" s="7"/>
      <c r="E258" s="7"/>
      <c r="F258" s="7"/>
      <c r="G258" s="13"/>
    </row>
    <row r="259" customFormat="false" ht="15" hidden="false" customHeight="false" outlineLevel="0" collapsed="false">
      <c r="A259" s="11" t="s">
        <v>372</v>
      </c>
      <c r="B259" s="17" t="str">
        <f aca="false">IF(AND(ISNUMBER($B$115),ISNUMBER($B$117),ISNUMBER($B$118)),IF(UPPER($B$116)="F",10.59,11.25)*$B$115^-0.32*($B$117/100)^1.135*$B$118^0.315,"")</f>
        <v/>
      </c>
      <c r="C259" s="11" t="s">
        <v>365</v>
      </c>
      <c r="D259" s="7"/>
      <c r="E259" s="7"/>
      <c r="F259" s="7"/>
      <c r="G259" s="13"/>
    </row>
    <row r="260" customFormat="false" ht="15" hidden="false" customHeight="false" outlineLevel="0" collapsed="false">
      <c r="A260" s="11" t="s">
        <v>373</v>
      </c>
      <c r="B260" s="17" t="str">
        <f aca="false">IF(AND(ISNUMBER($B$258),ISNUMBER($B$259)),$B$258+$B$259,"")</f>
        <v/>
      </c>
      <c r="C260" s="11" t="s">
        <v>365</v>
      </c>
      <c r="D260" s="7"/>
      <c r="E260" s="7"/>
      <c r="F260" s="7"/>
      <c r="G260" s="13"/>
    </row>
    <row r="261" customFormat="false" ht="15" hidden="false" customHeight="false" outlineLevel="0" collapsed="false">
      <c r="A261" s="11" t="s">
        <v>374</v>
      </c>
      <c r="B261" s="22" t="str">
        <f aca="false">IF(AND(ISNUMBER($B$260),ISNUMBER($B$257)),($B$260-$B$257)/$B$257,"")</f>
        <v/>
      </c>
      <c r="C261" s="11" t="s">
        <v>48</v>
      </c>
      <c r="D261" s="14" t="n">
        <v>-0.3</v>
      </c>
      <c r="E261" s="14"/>
      <c r="F261" s="15" t="str">
        <f aca="false">IF(NOT(ISNUMBER(B261)),"",IF(AND(ISNUMBER(D261),B261&lt;D261),"LOW",IF(AND(ISNUMBER(E261),B261&gt;E261),"HIGH","OK")))</f>
        <v/>
      </c>
      <c r="G261" s="13" t="s">
        <v>375</v>
      </c>
    </row>
    <row r="262" customFormat="false" ht="15" hidden="false" customHeight="false" outlineLevel="0" collapsed="false">
      <c r="A262" s="11" t="s">
        <v>376</v>
      </c>
      <c r="B262" s="16" t="n">
        <f aca="false">IF(AND(ISNUMBER($B$8)),IF(UPPER($B$11)="F",6.6*$B$8/100-5.79,7.99*$B$8/100-7.08),"")</f>
        <v>7.1422</v>
      </c>
      <c r="C262" s="11" t="s">
        <v>377</v>
      </c>
      <c r="D262" s="7"/>
      <c r="E262" s="7"/>
      <c r="F262" s="7"/>
      <c r="G262" s="13" t="s">
        <v>378</v>
      </c>
    </row>
    <row r="263" customFormat="false" ht="15" hidden="false" customHeight="false" outlineLevel="0" collapsed="false">
      <c r="A263" s="11" t="s">
        <v>379</v>
      </c>
      <c r="B263" s="16" t="str">
        <f aca="false">IF(AND(ISNUMBER($B$117)),IF(UPPER($B$116)="F",6.6*$B$117/100-5.79,7.99*$B$117/100-7.08),"")</f>
        <v/>
      </c>
      <c r="C263" s="11" t="s">
        <v>377</v>
      </c>
      <c r="D263" s="7"/>
      <c r="E263" s="7"/>
      <c r="F263" s="7"/>
      <c r="G263" s="13"/>
    </row>
    <row r="264" customFormat="false" ht="15" hidden="false" customHeight="false" outlineLevel="0" collapsed="false">
      <c r="A264" s="11" t="s">
        <v>380</v>
      </c>
      <c r="B264" s="16" t="str">
        <f aca="false">IF(AND(ISNUMBER($B$263),ISNUMBER($B$262)),$B$263/$B$262,"")</f>
        <v/>
      </c>
      <c r="C264" s="11"/>
      <c r="D264" s="14" t="n">
        <v>0.8</v>
      </c>
      <c r="E264" s="14" t="n">
        <v>1.2</v>
      </c>
      <c r="F264" s="15" t="str">
        <f aca="false">IF(NOT(ISNUMBER(B264)),"",IF(AND(ISNUMBER(D264),B264&lt;D264),"LOW",IF(AND(ISNUMBER(E264),B264&gt;E264),"HIGH","OK")))</f>
        <v/>
      </c>
      <c r="G264" s="13" t="s">
        <v>381</v>
      </c>
    </row>
    <row r="265" customFormat="false" ht="15" hidden="false" customHeight="false" outlineLevel="0" collapsed="false">
      <c r="A265" s="7"/>
      <c r="B265" s="7"/>
      <c r="C265" s="7"/>
      <c r="D265" s="7"/>
      <c r="E265" s="7"/>
      <c r="F265" s="7"/>
      <c r="G265" s="7"/>
    </row>
    <row r="266" customFormat="false" ht="15" hidden="false" customHeight="false" outlineLevel="0" collapsed="false">
      <c r="A266" s="23" t="s">
        <v>382</v>
      </c>
      <c r="B266" s="23"/>
      <c r="C266" s="23"/>
      <c r="D266" s="23"/>
      <c r="E266" s="23"/>
      <c r="F266" s="23"/>
      <c r="G266" s="23"/>
    </row>
  </sheetData>
  <mergeCells count="2">
    <mergeCell ref="A2:G2"/>
    <mergeCell ref="A266:G266"/>
  </mergeCells>
  <conditionalFormatting sqref="F6:F265">
    <cfRule type="expression" priority="2" aboveAverage="0" equalAverage="0" bottom="0" percent="0" rank="0" text="" dxfId="0">
      <formula>OR(F6="LOW",F6="HIGH")</formula>
    </cfRule>
    <cfRule type="expression" priority="3" aboveAverage="0" equalAverage="0" bottom="0" percent="0" rank="0" text="" dxfId="1">
      <formula>F6="OK"</formula>
    </cfRule>
  </conditionalFormatting>
  <dataValidations count="1">
    <dataValidation allowBlank="true" errorStyle="stop" operator="between" showDropDown="false" showErrorMessage="false" showInputMessage="false" sqref="B11 B116" type="list">
      <formula1>"M,F"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2026-10-27T20:10:54Z</dcterms:created>
  <dc:creator>openpyxl</dc:creator>
  <dc:description/>
  <dc:language>en-US</dc:language>
  <cp:lastModifiedBy/>
  <dcterms:modified xsi:type="dcterms:W3CDTF">2026-10-27T20:10:54Z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